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KKTÖT előterjesztések\2022. évi előterjesztések\előterjesztés 2022.05 hó\"/>
    </mc:Choice>
  </mc:AlternateContent>
  <xr:revisionPtr revIDLastSave="0" documentId="13_ncr:1_{C6FF1ED2-2E85-4AF2-8673-96CC919AFF55}" xr6:coauthVersionLast="47" xr6:coauthVersionMax="47" xr10:uidLastSave="{00000000-0000-0000-0000-000000000000}"/>
  <bookViews>
    <workbookView xWindow="-120" yWindow="-120" windowWidth="29040" windowHeight="15840" tabRatio="843" activeTab="6" xr2:uid="{00000000-000D-0000-FFFF-FFFF00000000}"/>
  </bookViews>
  <sheets>
    <sheet name="1" sheetId="84" r:id="rId1"/>
    <sheet name="1a" sheetId="71" r:id="rId2"/>
    <sheet name="1b" sheetId="2" r:id="rId3"/>
    <sheet name="2" sheetId="81" r:id="rId4"/>
    <sheet name="3" sheetId="83" r:id="rId5"/>
    <sheet name="3a" sheetId="6" r:id="rId6"/>
    <sheet name="3b" sheetId="25" r:id="rId7"/>
    <sheet name="3c" sheetId="69" r:id="rId8"/>
    <sheet name="4" sheetId="85" r:id="rId9"/>
    <sheet name="4a" sheetId="86" r:id="rId10"/>
    <sheet name="4b" sheetId="87" r:id="rId11"/>
    <sheet name="4c" sheetId="88" r:id="rId12"/>
    <sheet name="4d" sheetId="89" r:id="rId13"/>
    <sheet name="5" sheetId="9" r:id="rId14"/>
    <sheet name="6" sheetId="5" r:id="rId15"/>
    <sheet name="7,7a" sheetId="13" r:id="rId16"/>
    <sheet name="8" sheetId="82" r:id="rId17"/>
    <sheet name="9" sheetId="60" r:id="rId18"/>
    <sheet name="10a" sheetId="22" r:id="rId19"/>
    <sheet name="10b" sheetId="61" r:id="rId20"/>
    <sheet name="10c" sheetId="64" r:id="rId21"/>
    <sheet name="10d" sheetId="65" r:id="rId22"/>
    <sheet name="10d2" sheetId="77" r:id="rId23"/>
    <sheet name="10e" sheetId="66" r:id="rId24"/>
    <sheet name="10f" sheetId="67" r:id="rId25"/>
    <sheet name="10g" sheetId="24" r:id="rId26"/>
    <sheet name="10h" sheetId="10" r:id="rId27"/>
    <sheet name="10i" sheetId="63" r:id="rId28"/>
    <sheet name="10j" sheetId="68" r:id="rId29"/>
    <sheet name="10k" sheetId="42" r:id="rId30"/>
    <sheet name="11" sheetId="23" r:id="rId31"/>
    <sheet name="12" sheetId="59" r:id="rId32"/>
    <sheet name="12a" sheetId="78" r:id="rId33"/>
    <sheet name="12b" sheetId="70" state="hidden" r:id="rId34"/>
    <sheet name="13a" sheetId="79" r:id="rId35"/>
    <sheet name="13b" sheetId="80" r:id="rId36"/>
    <sheet name="14" sheetId="62" r:id="rId37"/>
  </sheets>
  <definedNames>
    <definedName name="_xlnm.Print_Titles" localSheetId="6">'3b'!#REF!</definedName>
    <definedName name="_xlnm.Print_Titles" localSheetId="7">'3c'!#REF!</definedName>
    <definedName name="_xlnm.Print_Titles" localSheetId="14">'6'!$1:$2</definedName>
    <definedName name="_xlnm.Print_Titles" localSheetId="16">'8'!$1:$8</definedName>
    <definedName name="_xlnm.Print_Area" localSheetId="0">'1'!$A$1:$F$103</definedName>
    <definedName name="_xlnm.Print_Area" localSheetId="18">'10a'!$A$1:$G$27</definedName>
    <definedName name="_xlnm.Print_Area" localSheetId="19">'10b'!$A$1:$D$14</definedName>
    <definedName name="_xlnm.Print_Area" localSheetId="20">'10c'!$A$1:$D$10</definedName>
    <definedName name="_xlnm.Print_Area" localSheetId="21">'10d'!$A$1:$G$11</definedName>
    <definedName name="_xlnm.Print_Area" localSheetId="22">'10d2'!$A$1:$D$22</definedName>
    <definedName name="_xlnm.Print_Area" localSheetId="23">'10e'!$A$1:$D$10</definedName>
    <definedName name="_xlnm.Print_Area" localSheetId="24">'10f'!$A$1:$G$43</definedName>
    <definedName name="_xlnm.Print_Area" localSheetId="25">'10g'!$A$1:$G$28</definedName>
    <definedName name="_xlnm.Print_Area" localSheetId="26">'10h'!$A$1:$D$32</definedName>
    <definedName name="_xlnm.Print_Area" localSheetId="27">'10i'!$A$1:$G$32</definedName>
    <definedName name="_xlnm.Print_Area" localSheetId="28">'10j'!$A$1:$D$25</definedName>
    <definedName name="_xlnm.Print_Area" localSheetId="29">'10k'!$A$1:$G$10</definedName>
    <definedName name="_xlnm.Print_Area" localSheetId="30">'11'!$A$1:$D$16</definedName>
    <definedName name="_xlnm.Print_Area" localSheetId="31">'12'!$A$1:$O$50</definedName>
    <definedName name="_xlnm.Print_Area" localSheetId="32">'12a'!$A$1:$P$241</definedName>
    <definedName name="_xlnm.Print_Area" localSheetId="33">'12b'!$A$1:$I$31</definedName>
    <definedName name="_xlnm.Print_Area" localSheetId="34">'13a'!$A$1:$R$40</definedName>
    <definedName name="_xlnm.Print_Area" localSheetId="35">'13b'!$A$1:$N$33</definedName>
    <definedName name="_xlnm.Print_Area" localSheetId="36">'14'!$A$1:$D$50</definedName>
    <definedName name="_xlnm.Print_Area" localSheetId="1">'1a'!$A$1:$H$104</definedName>
    <definedName name="_xlnm.Print_Area" localSheetId="2">'1b'!$A$1:$C$22</definedName>
    <definedName name="_xlnm.Print_Area" localSheetId="3">'2'!$A$1:$F$74</definedName>
    <definedName name="_xlnm.Print_Area" localSheetId="4">'3'!$A$1:$F$40</definedName>
    <definedName name="_xlnm.Print_Area" localSheetId="5">'3a'!$A$1:$H$77</definedName>
    <definedName name="_xlnm.Print_Area" localSheetId="6">'3b'!$A$1:$I$507</definedName>
    <definedName name="_xlnm.Print_Area" localSheetId="7">'3c'!$A$1:$G$440</definedName>
    <definedName name="_xlnm.Print_Area" localSheetId="8">'4'!$A$1:$G$23</definedName>
    <definedName name="_xlnm.Print_Area" localSheetId="9">'4a'!$A$1:$J$31</definedName>
    <definedName name="_xlnm.Print_Area" localSheetId="10">'4b'!$A$1:$O$31</definedName>
    <definedName name="_xlnm.Print_Area" localSheetId="11">'4c'!$A$1:$J$13</definedName>
    <definedName name="_xlnm.Print_Area" localSheetId="12">'4d'!$A$1:$K$39</definedName>
    <definedName name="_xlnm.Print_Area" localSheetId="13">'5'!$A$1:$H$21</definedName>
    <definedName name="_xlnm.Print_Area" localSheetId="14">'6'!$A$1:$D$270</definedName>
    <definedName name="_xlnm.Print_Area" localSheetId="15">'7,7a'!$A$1:$F$50</definedName>
    <definedName name="_xlnm.Print_Area" localSheetId="16">'8'!$A$1:$E$54</definedName>
    <definedName name="_xlnm.Print_Area" localSheetId="17">'9'!$A$1:$I$26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5" l="1"/>
  <c r="F15" i="25"/>
  <c r="D15" i="25"/>
  <c r="E16" i="25"/>
  <c r="F16" i="25"/>
  <c r="D16" i="25"/>
  <c r="E48" i="82"/>
  <c r="D48" i="82"/>
  <c r="E45" i="82"/>
  <c r="D45" i="82"/>
  <c r="N21" i="80"/>
  <c r="N20" i="80"/>
  <c r="K20" i="80"/>
  <c r="N19" i="80"/>
  <c r="K19" i="80"/>
  <c r="N18" i="80"/>
  <c r="N17" i="80"/>
  <c r="K17" i="80"/>
  <c r="E19" i="84"/>
  <c r="E11" i="84" s="1"/>
  <c r="H46" i="78"/>
  <c r="F40" i="83"/>
  <c r="F39" i="83"/>
  <c r="D10" i="83"/>
  <c r="E10" i="83"/>
  <c r="C10" i="83"/>
  <c r="D13" i="81"/>
  <c r="E13" i="81"/>
  <c r="C13" i="81"/>
  <c r="F35" i="81"/>
  <c r="F36" i="81"/>
  <c r="F34" i="81"/>
  <c r="H33" i="71"/>
  <c r="H22" i="71"/>
  <c r="D11" i="71"/>
  <c r="C62" i="71"/>
  <c r="G36" i="71"/>
  <c r="D36" i="71"/>
  <c r="E36" i="71"/>
  <c r="F36" i="71"/>
  <c r="C36" i="71"/>
  <c r="C42" i="71"/>
  <c r="C36" i="84"/>
  <c r="D36" i="84"/>
  <c r="E36" i="84"/>
  <c r="D19" i="84"/>
  <c r="D11" i="84" s="1"/>
  <c r="C19" i="84"/>
  <c r="C11" i="84" s="1"/>
  <c r="F33" i="84"/>
  <c r="F23" i="60"/>
  <c r="G22" i="60"/>
  <c r="F22" i="60"/>
  <c r="E22" i="60"/>
  <c r="D22" i="60"/>
  <c r="H21" i="60"/>
  <c r="I21" i="60" s="1"/>
  <c r="I20" i="60"/>
  <c r="I22" i="60" s="1"/>
  <c r="H20" i="60"/>
  <c r="H22" i="60" s="1"/>
  <c r="G18" i="60"/>
  <c r="G23" i="60" s="1"/>
  <c r="F18" i="60"/>
  <c r="E18" i="60"/>
  <c r="E23" i="60" s="1"/>
  <c r="D18" i="60"/>
  <c r="D23" i="60" s="1"/>
  <c r="C18" i="60"/>
  <c r="C23" i="60" s="1"/>
  <c r="H17" i="60"/>
  <c r="I17" i="60" s="1"/>
  <c r="H16" i="60"/>
  <c r="I16" i="60" s="1"/>
  <c r="H15" i="60"/>
  <c r="I15" i="60" s="1"/>
  <c r="H14" i="60"/>
  <c r="I14" i="60" s="1"/>
  <c r="H13" i="60"/>
  <c r="I13" i="60" s="1"/>
  <c r="H12" i="60"/>
  <c r="I12" i="60" s="1"/>
  <c r="I11" i="60"/>
  <c r="I10" i="60"/>
  <c r="H9" i="60"/>
  <c r="I9" i="60" s="1"/>
  <c r="I18" i="60" s="1"/>
  <c r="I23" i="60" s="1"/>
  <c r="C9" i="60"/>
  <c r="H20" i="9"/>
  <c r="H19" i="9"/>
  <c r="G18" i="9"/>
  <c r="G9" i="9" s="1"/>
  <c r="F18" i="9"/>
  <c r="E18" i="9"/>
  <c r="H17" i="9"/>
  <c r="H16" i="9"/>
  <c r="G16" i="9"/>
  <c r="F16" i="9"/>
  <c r="E16" i="9"/>
  <c r="H15" i="9"/>
  <c r="H14" i="9"/>
  <c r="H13" i="9"/>
  <c r="H12" i="9"/>
  <c r="H11" i="9"/>
  <c r="G10" i="9"/>
  <c r="H10" i="9" s="1"/>
  <c r="F10" i="9"/>
  <c r="E10" i="9"/>
  <c r="F9" i="9"/>
  <c r="F21" i="9" s="1"/>
  <c r="E9" i="9"/>
  <c r="E21" i="9" s="1"/>
  <c r="F434" i="69"/>
  <c r="E434" i="69"/>
  <c r="D434" i="69"/>
  <c r="F427" i="69"/>
  <c r="F417" i="69" s="1"/>
  <c r="F398" i="69" s="1"/>
  <c r="E427" i="69"/>
  <c r="D427" i="69"/>
  <c r="F418" i="69"/>
  <c r="E418" i="69"/>
  <c r="E417" i="69" s="1"/>
  <c r="E398" i="69" s="1"/>
  <c r="D418" i="69"/>
  <c r="D417" i="69"/>
  <c r="D398" i="69" s="1"/>
  <c r="F400" i="69"/>
  <c r="E400" i="69"/>
  <c r="E399" i="69" s="1"/>
  <c r="D400" i="69"/>
  <c r="D399" i="69" s="1"/>
  <c r="F399" i="69"/>
  <c r="G395" i="69"/>
  <c r="F389" i="69"/>
  <c r="E389" i="69"/>
  <c r="E372" i="69" s="1"/>
  <c r="E350" i="69" s="1"/>
  <c r="D389" i="69"/>
  <c r="G388" i="69"/>
  <c r="F382" i="69"/>
  <c r="F372" i="69" s="1"/>
  <c r="E382" i="69"/>
  <c r="D382" i="69"/>
  <c r="D372" i="69" s="1"/>
  <c r="G381" i="69"/>
  <c r="G373" i="69"/>
  <c r="F373" i="69"/>
  <c r="E373" i="69"/>
  <c r="D373" i="69"/>
  <c r="G357" i="69"/>
  <c r="F352" i="69"/>
  <c r="G352" i="69" s="1"/>
  <c r="E352" i="69"/>
  <c r="D352" i="69"/>
  <c r="D351" i="69" s="1"/>
  <c r="F351" i="69"/>
  <c r="G351" i="69" s="1"/>
  <c r="E351" i="69"/>
  <c r="G347" i="69"/>
  <c r="F341" i="69"/>
  <c r="G341" i="69" s="1"/>
  <c r="E341" i="69"/>
  <c r="D341" i="69"/>
  <c r="G337" i="69"/>
  <c r="F334" i="69"/>
  <c r="G334" i="69" s="1"/>
  <c r="E334" i="69"/>
  <c r="D334" i="69"/>
  <c r="D324" i="69" s="1"/>
  <c r="D301" i="69" s="1"/>
  <c r="F325" i="69"/>
  <c r="E325" i="69"/>
  <c r="D325" i="69"/>
  <c r="E324" i="69"/>
  <c r="E301" i="69" s="1"/>
  <c r="G309" i="69"/>
  <c r="G308" i="69"/>
  <c r="G303" i="69"/>
  <c r="F303" i="69"/>
  <c r="E303" i="69"/>
  <c r="D303" i="69"/>
  <c r="G302" i="69"/>
  <c r="F302" i="69"/>
  <c r="E302" i="69"/>
  <c r="D302" i="69"/>
  <c r="G298" i="69"/>
  <c r="J295" i="69"/>
  <c r="F292" i="69"/>
  <c r="G292" i="69" s="1"/>
  <c r="E292" i="69"/>
  <c r="E275" i="69" s="1"/>
  <c r="E252" i="69" s="1"/>
  <c r="D292" i="69"/>
  <c r="G291" i="69"/>
  <c r="G288" i="69"/>
  <c r="G285" i="69"/>
  <c r="F285" i="69"/>
  <c r="E285" i="69"/>
  <c r="D285" i="69"/>
  <c r="G284" i="69"/>
  <c r="F276" i="69"/>
  <c r="G276" i="69" s="1"/>
  <c r="E276" i="69"/>
  <c r="D276" i="69"/>
  <c r="D275" i="69" s="1"/>
  <c r="D252" i="69" s="1"/>
  <c r="F275" i="69"/>
  <c r="G262" i="69"/>
  <c r="G261" i="69"/>
  <c r="G260" i="69"/>
  <c r="G259" i="69"/>
  <c r="F254" i="69"/>
  <c r="G254" i="69" s="1"/>
  <c r="E254" i="69"/>
  <c r="D254" i="69"/>
  <c r="F253" i="69"/>
  <c r="G253" i="69" s="1"/>
  <c r="E253" i="69"/>
  <c r="D253" i="69"/>
  <c r="F252" i="69"/>
  <c r="G249" i="69"/>
  <c r="J246" i="69"/>
  <c r="F243" i="69"/>
  <c r="G243" i="69" s="1"/>
  <c r="E243" i="69"/>
  <c r="D243" i="69"/>
  <c r="G242" i="69"/>
  <c r="G239" i="69"/>
  <c r="F236" i="69"/>
  <c r="G236" i="69" s="1"/>
  <c r="E236" i="69"/>
  <c r="D236" i="69"/>
  <c r="D226" i="69" s="1"/>
  <c r="D204" i="69" s="1"/>
  <c r="G235" i="69"/>
  <c r="F227" i="69"/>
  <c r="G227" i="69" s="1"/>
  <c r="E227" i="69"/>
  <c r="D227" i="69"/>
  <c r="E226" i="69"/>
  <c r="E204" i="69" s="1"/>
  <c r="G213" i="69"/>
  <c r="G209" i="69"/>
  <c r="G206" i="69"/>
  <c r="F206" i="69"/>
  <c r="E206" i="69"/>
  <c r="D206" i="69"/>
  <c r="G205" i="69"/>
  <c r="F205" i="69"/>
  <c r="E205" i="69"/>
  <c r="D205" i="69"/>
  <c r="F193" i="69"/>
  <c r="E193" i="69"/>
  <c r="D193" i="69"/>
  <c r="G192" i="69"/>
  <c r="G186" i="69"/>
  <c r="F186" i="69"/>
  <c r="E186" i="69"/>
  <c r="E176" i="69" s="1"/>
  <c r="D186" i="69"/>
  <c r="D176" i="69" s="1"/>
  <c r="D154" i="69" s="1"/>
  <c r="F177" i="69"/>
  <c r="E177" i="69"/>
  <c r="D177" i="69"/>
  <c r="F176" i="69"/>
  <c r="G176" i="69" s="1"/>
  <c r="F156" i="69"/>
  <c r="F155" i="69" s="1"/>
  <c r="E156" i="69"/>
  <c r="E155" i="69" s="1"/>
  <c r="D156" i="69"/>
  <c r="D155" i="69"/>
  <c r="G151" i="69"/>
  <c r="F145" i="69"/>
  <c r="G145" i="69" s="1"/>
  <c r="E145" i="69"/>
  <c r="D145" i="69"/>
  <c r="E144" i="69"/>
  <c r="G144" i="69" s="1"/>
  <c r="F138" i="69"/>
  <c r="D138" i="69"/>
  <c r="G137" i="69"/>
  <c r="F129" i="69"/>
  <c r="G129" i="69" s="1"/>
  <c r="E129" i="69"/>
  <c r="D129" i="69"/>
  <c r="D128" i="69" s="1"/>
  <c r="F108" i="69"/>
  <c r="E108" i="69"/>
  <c r="D108" i="69"/>
  <c r="D107" i="69" s="1"/>
  <c r="F107" i="69"/>
  <c r="E107" i="69"/>
  <c r="G100" i="69"/>
  <c r="J99" i="69"/>
  <c r="G99" i="69"/>
  <c r="F98" i="69"/>
  <c r="G98" i="69" s="1"/>
  <c r="E98" i="69"/>
  <c r="D98" i="69"/>
  <c r="G93" i="69"/>
  <c r="G92" i="69"/>
  <c r="G91" i="69"/>
  <c r="F91" i="69"/>
  <c r="E91" i="69"/>
  <c r="D91" i="69"/>
  <c r="D81" i="69" s="1"/>
  <c r="D60" i="69" s="1"/>
  <c r="G88" i="69"/>
  <c r="G87" i="69"/>
  <c r="G86" i="69"/>
  <c r="G85" i="69"/>
  <c r="G84" i="69"/>
  <c r="G83" i="69"/>
  <c r="F82" i="69"/>
  <c r="G82" i="69" s="1"/>
  <c r="E82" i="69"/>
  <c r="E81" i="69" s="1"/>
  <c r="E60" i="69" s="1"/>
  <c r="D82" i="69"/>
  <c r="F81" i="69"/>
  <c r="F60" i="69" s="1"/>
  <c r="G76" i="69"/>
  <c r="G63" i="69"/>
  <c r="G62" i="69"/>
  <c r="F62" i="69"/>
  <c r="E62" i="69"/>
  <c r="D62" i="69"/>
  <c r="G61" i="69"/>
  <c r="F61" i="69"/>
  <c r="E61" i="69"/>
  <c r="D61" i="69"/>
  <c r="G57" i="69"/>
  <c r="F57" i="69"/>
  <c r="E57" i="69"/>
  <c r="D57" i="69"/>
  <c r="F56" i="69"/>
  <c r="E56" i="69"/>
  <c r="D56" i="69"/>
  <c r="F55" i="69"/>
  <c r="F51" i="69" s="1"/>
  <c r="E55" i="69"/>
  <c r="E51" i="69" s="1"/>
  <c r="D55" i="69"/>
  <c r="F54" i="69"/>
  <c r="E54" i="69"/>
  <c r="D54" i="69"/>
  <c r="F53" i="69"/>
  <c r="G53" i="69" s="1"/>
  <c r="E53" i="69"/>
  <c r="D53" i="69"/>
  <c r="F52" i="69"/>
  <c r="G52" i="69" s="1"/>
  <c r="E52" i="69"/>
  <c r="D52" i="69"/>
  <c r="D51" i="69"/>
  <c r="F50" i="69"/>
  <c r="G50" i="69" s="1"/>
  <c r="E50" i="69"/>
  <c r="E44" i="69" s="1"/>
  <c r="D50" i="69"/>
  <c r="F49" i="69"/>
  <c r="E49" i="69"/>
  <c r="D49" i="69"/>
  <c r="D44" i="69" s="1"/>
  <c r="D34" i="69" s="1"/>
  <c r="F48" i="69"/>
  <c r="E48" i="69"/>
  <c r="D48" i="69"/>
  <c r="F47" i="69"/>
  <c r="G47" i="69" s="1"/>
  <c r="E47" i="69"/>
  <c r="D47" i="69"/>
  <c r="F46" i="69"/>
  <c r="G46" i="69" s="1"/>
  <c r="E46" i="69"/>
  <c r="D46" i="69"/>
  <c r="F45" i="69"/>
  <c r="F44" i="69" s="1"/>
  <c r="G44" i="69" s="1"/>
  <c r="E45" i="69"/>
  <c r="D45" i="69"/>
  <c r="F43" i="69"/>
  <c r="G43" i="69" s="1"/>
  <c r="E43" i="69"/>
  <c r="D43" i="69"/>
  <c r="F42" i="69"/>
  <c r="E42" i="69"/>
  <c r="D42" i="69"/>
  <c r="F41" i="69"/>
  <c r="G41" i="69" s="1"/>
  <c r="E41" i="69"/>
  <c r="D41" i="69"/>
  <c r="F40" i="69"/>
  <c r="G40" i="69" s="1"/>
  <c r="E40" i="69"/>
  <c r="D40" i="69"/>
  <c r="F39" i="69"/>
  <c r="G39" i="69" s="1"/>
  <c r="E39" i="69"/>
  <c r="D39" i="69"/>
  <c r="F38" i="69"/>
  <c r="G38" i="69" s="1"/>
  <c r="E38" i="69"/>
  <c r="D38" i="69"/>
  <c r="F37" i="69"/>
  <c r="G37" i="69" s="1"/>
  <c r="E37" i="69"/>
  <c r="D37" i="69"/>
  <c r="F36" i="69"/>
  <c r="G36" i="69" s="1"/>
  <c r="E36" i="69"/>
  <c r="D36" i="69"/>
  <c r="E35" i="69"/>
  <c r="D35" i="69"/>
  <c r="F20" i="69"/>
  <c r="G20" i="69" s="1"/>
  <c r="E20" i="69"/>
  <c r="D20" i="69"/>
  <c r="F19" i="69"/>
  <c r="G19" i="69" s="1"/>
  <c r="E19" i="69"/>
  <c r="D19" i="69"/>
  <c r="F18" i="69"/>
  <c r="G18" i="69" s="1"/>
  <c r="E18" i="69"/>
  <c r="D18" i="69"/>
  <c r="F17" i="69"/>
  <c r="E17" i="69"/>
  <c r="D17" i="69"/>
  <c r="F16" i="69"/>
  <c r="E16" i="69"/>
  <c r="G16" i="69" s="1"/>
  <c r="D16" i="69"/>
  <c r="F15" i="69"/>
  <c r="E15" i="69"/>
  <c r="D15" i="69"/>
  <c r="G14" i="69"/>
  <c r="F14" i="69"/>
  <c r="E14" i="69"/>
  <c r="D14" i="69"/>
  <c r="D11" i="69" s="1"/>
  <c r="F13" i="69"/>
  <c r="E13" i="69"/>
  <c r="D13" i="69"/>
  <c r="F12" i="69"/>
  <c r="F11" i="69" s="1"/>
  <c r="E12" i="69"/>
  <c r="D12" i="69"/>
  <c r="F501" i="25"/>
  <c r="E501" i="25"/>
  <c r="D501" i="25"/>
  <c r="D485" i="25" s="1"/>
  <c r="F494" i="25"/>
  <c r="E494" i="25"/>
  <c r="D494" i="25"/>
  <c r="F486" i="25"/>
  <c r="F485" i="25" s="1"/>
  <c r="E486" i="25"/>
  <c r="D486" i="25"/>
  <c r="G473" i="25"/>
  <c r="F468" i="25"/>
  <c r="F467" i="25" s="1"/>
  <c r="E468" i="25"/>
  <c r="D468" i="25"/>
  <c r="D467" i="25" s="1"/>
  <c r="E467" i="25"/>
  <c r="F457" i="25"/>
  <c r="E457" i="25"/>
  <c r="D457" i="25"/>
  <c r="F450" i="25"/>
  <c r="E450" i="25"/>
  <c r="D450" i="25"/>
  <c r="F442" i="25"/>
  <c r="E442" i="25"/>
  <c r="D442" i="25"/>
  <c r="F429" i="25"/>
  <c r="E429" i="25"/>
  <c r="E18" i="25" s="1"/>
  <c r="D424" i="25"/>
  <c r="D423" i="25" s="1"/>
  <c r="F413" i="25"/>
  <c r="E413" i="25"/>
  <c r="D413" i="25"/>
  <c r="G409" i="25"/>
  <c r="F406" i="25"/>
  <c r="E406" i="25"/>
  <c r="D406" i="25"/>
  <c r="F398" i="25"/>
  <c r="F397" i="25" s="1"/>
  <c r="E398" i="25"/>
  <c r="D398" i="25"/>
  <c r="F380" i="25"/>
  <c r="F379" i="25" s="1"/>
  <c r="E380" i="25"/>
  <c r="E379" i="25" s="1"/>
  <c r="D380" i="25"/>
  <c r="D379" i="25" s="1"/>
  <c r="F369" i="25"/>
  <c r="E369" i="25"/>
  <c r="D369" i="25"/>
  <c r="F362" i="25"/>
  <c r="E362" i="25"/>
  <c r="D362" i="25"/>
  <c r="F354" i="25"/>
  <c r="E354" i="25"/>
  <c r="D354" i="25"/>
  <c r="G341" i="25"/>
  <c r="F336" i="25"/>
  <c r="F335" i="25" s="1"/>
  <c r="E336" i="25"/>
  <c r="E335" i="25" s="1"/>
  <c r="D336" i="25"/>
  <c r="D335" i="25" s="1"/>
  <c r="F325" i="25"/>
  <c r="E325" i="25"/>
  <c r="D325" i="25"/>
  <c r="F318" i="25"/>
  <c r="E318" i="25"/>
  <c r="D318" i="25"/>
  <c r="F310" i="25"/>
  <c r="E310" i="25"/>
  <c r="D310" i="25"/>
  <c r="G293" i="25"/>
  <c r="F290" i="25"/>
  <c r="E290" i="25"/>
  <c r="E289" i="25" s="1"/>
  <c r="D290" i="25"/>
  <c r="D289" i="25" s="1"/>
  <c r="F289" i="25"/>
  <c r="G280" i="25"/>
  <c r="F279" i="25"/>
  <c r="E279" i="25"/>
  <c r="D279" i="25"/>
  <c r="G276" i="25"/>
  <c r="G275" i="25"/>
  <c r="G273" i="25"/>
  <c r="F272" i="25"/>
  <c r="E272" i="25"/>
  <c r="D272" i="25"/>
  <c r="G268" i="25"/>
  <c r="G265" i="25"/>
  <c r="F264" i="25"/>
  <c r="E264" i="25"/>
  <c r="D264" i="25"/>
  <c r="G247" i="25"/>
  <c r="F244" i="25"/>
  <c r="E244" i="25"/>
  <c r="E243" i="25" s="1"/>
  <c r="D244" i="25"/>
  <c r="D243" i="25" s="1"/>
  <c r="F233" i="25"/>
  <c r="E233" i="25"/>
  <c r="D233" i="25"/>
  <c r="F226" i="25"/>
  <c r="E226" i="25"/>
  <c r="D226" i="25"/>
  <c r="F218" i="25"/>
  <c r="E218" i="25"/>
  <c r="D218" i="25"/>
  <c r="G205" i="25"/>
  <c r="G204" i="25"/>
  <c r="G203" i="25"/>
  <c r="F199" i="25"/>
  <c r="E199" i="25"/>
  <c r="E198" i="25" s="1"/>
  <c r="D199" i="25"/>
  <c r="D198" i="25" s="1"/>
  <c r="G190" i="25"/>
  <c r="G189" i="25"/>
  <c r="F188" i="25"/>
  <c r="E188" i="25"/>
  <c r="D188" i="25"/>
  <c r="G185" i="25"/>
  <c r="G184" i="25"/>
  <c r="G183" i="25"/>
  <c r="G182" i="25"/>
  <c r="F181" i="25"/>
  <c r="G181" i="25" s="1"/>
  <c r="E181" i="25"/>
  <c r="D181" i="25"/>
  <c r="G178" i="25"/>
  <c r="G177" i="25"/>
  <c r="G176" i="25"/>
  <c r="G175" i="25"/>
  <c r="G174" i="25"/>
  <c r="G173" i="25"/>
  <c r="F172" i="25"/>
  <c r="E172" i="25"/>
  <c r="D172" i="25"/>
  <c r="E171" i="25"/>
  <c r="E150" i="25" s="1"/>
  <c r="G165" i="25"/>
  <c r="G155" i="25"/>
  <c r="G153" i="25"/>
  <c r="F152" i="25"/>
  <c r="F151" i="25" s="1"/>
  <c r="E152" i="25"/>
  <c r="E151" i="25" s="1"/>
  <c r="D152" i="25"/>
  <c r="D151" i="25" s="1"/>
  <c r="G143" i="25"/>
  <c r="G142" i="25"/>
  <c r="F141" i="25"/>
  <c r="G141" i="25" s="1"/>
  <c r="E141" i="25"/>
  <c r="D141" i="25"/>
  <c r="G138" i="25"/>
  <c r="G137" i="25"/>
  <c r="G136" i="25"/>
  <c r="G135" i="25"/>
  <c r="F134" i="25"/>
  <c r="E134" i="25"/>
  <c r="D134" i="25"/>
  <c r="G132" i="25"/>
  <c r="G131" i="25"/>
  <c r="G130" i="25"/>
  <c r="G129" i="25"/>
  <c r="G128" i="25"/>
  <c r="G127" i="25"/>
  <c r="G126" i="25"/>
  <c r="F125" i="25"/>
  <c r="E125" i="25"/>
  <c r="E124" i="25" s="1"/>
  <c r="E103" i="25" s="1"/>
  <c r="D125" i="25"/>
  <c r="G108" i="25"/>
  <c r="F105" i="25"/>
  <c r="F104" i="25" s="1"/>
  <c r="E105" i="25"/>
  <c r="E104" i="25" s="1"/>
  <c r="D105" i="25"/>
  <c r="D104" i="25" s="1"/>
  <c r="G96" i="25"/>
  <c r="G95" i="25"/>
  <c r="F94" i="25"/>
  <c r="E94" i="25"/>
  <c r="D94" i="25"/>
  <c r="G91" i="25"/>
  <c r="G90" i="25"/>
  <c r="G89" i="25"/>
  <c r="G88" i="25"/>
  <c r="F87" i="25"/>
  <c r="E87" i="25"/>
  <c r="G87" i="25" s="1"/>
  <c r="D87" i="25"/>
  <c r="G85" i="25"/>
  <c r="G84" i="25"/>
  <c r="G83" i="25"/>
  <c r="G82" i="25"/>
  <c r="G81" i="25"/>
  <c r="G80" i="25"/>
  <c r="G79" i="25"/>
  <c r="F78" i="25"/>
  <c r="G78" i="25" s="1"/>
  <c r="E78" i="25"/>
  <c r="D78" i="25"/>
  <c r="G61" i="25"/>
  <c r="F58" i="25"/>
  <c r="F57" i="25" s="1"/>
  <c r="E58" i="25"/>
  <c r="D58" i="25"/>
  <c r="D57" i="25" s="1"/>
  <c r="F53" i="25"/>
  <c r="E53" i="25"/>
  <c r="D53" i="25"/>
  <c r="F52" i="25"/>
  <c r="E52" i="25"/>
  <c r="D52" i="25"/>
  <c r="F51" i="25"/>
  <c r="E51" i="25"/>
  <c r="D51" i="25"/>
  <c r="F50" i="25"/>
  <c r="F47" i="25" s="1"/>
  <c r="E50" i="25"/>
  <c r="D50" i="25"/>
  <c r="F49" i="25"/>
  <c r="E49" i="25"/>
  <c r="D49" i="25"/>
  <c r="F48" i="25"/>
  <c r="E48" i="25"/>
  <c r="D48" i="25"/>
  <c r="I47" i="25"/>
  <c r="H47" i="25"/>
  <c r="F46" i="25"/>
  <c r="E46" i="25"/>
  <c r="D46" i="25"/>
  <c r="F45" i="25"/>
  <c r="E45" i="25"/>
  <c r="D45" i="25"/>
  <c r="F44" i="25"/>
  <c r="E44" i="25"/>
  <c r="D44" i="25"/>
  <c r="F43" i="25"/>
  <c r="E43" i="25"/>
  <c r="D43" i="25"/>
  <c r="F42" i="25"/>
  <c r="E42" i="25"/>
  <c r="F41" i="25"/>
  <c r="E41" i="25"/>
  <c r="D41" i="25"/>
  <c r="I40" i="25"/>
  <c r="I30" i="25" s="1"/>
  <c r="H40" i="25"/>
  <c r="H30" i="25" s="1"/>
  <c r="F39" i="25"/>
  <c r="E39" i="25"/>
  <c r="D39" i="25"/>
  <c r="F38" i="25"/>
  <c r="E38" i="25"/>
  <c r="D38" i="25"/>
  <c r="F37" i="25"/>
  <c r="E37" i="25"/>
  <c r="D37" i="25"/>
  <c r="F36" i="25"/>
  <c r="E36" i="25"/>
  <c r="D36" i="25"/>
  <c r="F35" i="25"/>
  <c r="E35" i="25"/>
  <c r="D35" i="25"/>
  <c r="F34" i="25"/>
  <c r="E34" i="25"/>
  <c r="D34" i="25"/>
  <c r="D31" i="25" s="1"/>
  <c r="F33" i="25"/>
  <c r="E33" i="25"/>
  <c r="D33" i="25"/>
  <c r="F32" i="25"/>
  <c r="E32" i="25"/>
  <c r="D32" i="25"/>
  <c r="F28" i="25"/>
  <c r="E28" i="25"/>
  <c r="D28" i="25"/>
  <c r="F27" i="25"/>
  <c r="E27" i="25"/>
  <c r="D27" i="25"/>
  <c r="F26" i="25"/>
  <c r="E26" i="25"/>
  <c r="D26" i="25"/>
  <c r="F25" i="25"/>
  <c r="G25" i="25" s="1"/>
  <c r="E25" i="25"/>
  <c r="D25" i="25"/>
  <c r="F24" i="25"/>
  <c r="E24" i="25"/>
  <c r="F23" i="25"/>
  <c r="E23" i="25"/>
  <c r="D23" i="25"/>
  <c r="F22" i="25"/>
  <c r="E22" i="25"/>
  <c r="D22" i="25"/>
  <c r="F21" i="25"/>
  <c r="E21" i="25"/>
  <c r="D21" i="25"/>
  <c r="F20" i="25"/>
  <c r="E20" i="25"/>
  <c r="D20" i="25"/>
  <c r="F19" i="25"/>
  <c r="E19" i="25"/>
  <c r="D19" i="25"/>
  <c r="D18" i="25"/>
  <c r="F17" i="25"/>
  <c r="E17" i="25"/>
  <c r="D17" i="25"/>
  <c r="F14" i="25"/>
  <c r="E14" i="25"/>
  <c r="D14" i="25"/>
  <c r="F13" i="25"/>
  <c r="E13" i="25"/>
  <c r="D13" i="25"/>
  <c r="F12" i="25"/>
  <c r="E12" i="25"/>
  <c r="D12" i="25"/>
  <c r="I11" i="25"/>
  <c r="I10" i="25" s="1"/>
  <c r="H11" i="25"/>
  <c r="H10" i="25" s="1"/>
  <c r="H74" i="6"/>
  <c r="H73" i="6"/>
  <c r="H72" i="6"/>
  <c r="H71" i="6"/>
  <c r="H70" i="6"/>
  <c r="G69" i="6"/>
  <c r="G58" i="6" s="1"/>
  <c r="F69" i="6"/>
  <c r="E69" i="6"/>
  <c r="D69" i="6"/>
  <c r="C69" i="6"/>
  <c r="H68" i="6"/>
  <c r="H67" i="6"/>
  <c r="H66" i="6"/>
  <c r="H65" i="6"/>
  <c r="H64" i="6"/>
  <c r="H63" i="6"/>
  <c r="H62" i="6"/>
  <c r="H61" i="6"/>
  <c r="H60" i="6"/>
  <c r="G59" i="6"/>
  <c r="F59" i="6"/>
  <c r="E59" i="6"/>
  <c r="E58" i="6" s="1"/>
  <c r="D59" i="6"/>
  <c r="D58" i="6" s="1"/>
  <c r="C59" i="6"/>
  <c r="C58" i="6"/>
  <c r="H57" i="6"/>
  <c r="H56" i="6"/>
  <c r="G55" i="6"/>
  <c r="F55" i="6"/>
  <c r="E55" i="6"/>
  <c r="D55" i="6"/>
  <c r="C55" i="6"/>
  <c r="H54" i="6"/>
  <c r="H53" i="6"/>
  <c r="H52" i="6"/>
  <c r="H51" i="6"/>
  <c r="G50" i="6"/>
  <c r="G48" i="6" s="1"/>
  <c r="F50" i="6"/>
  <c r="E50" i="6"/>
  <c r="D50" i="6"/>
  <c r="D48" i="6" s="1"/>
  <c r="C50" i="6"/>
  <c r="C48" i="6" s="1"/>
  <c r="H47" i="6"/>
  <c r="H46" i="6"/>
  <c r="H44" i="6"/>
  <c r="H43" i="6"/>
  <c r="H42" i="6"/>
  <c r="H41" i="6"/>
  <c r="H40" i="6"/>
  <c r="H39" i="6"/>
  <c r="H38" i="6"/>
  <c r="H37" i="6"/>
  <c r="G36" i="6"/>
  <c r="H36" i="6" s="1"/>
  <c r="F36" i="6"/>
  <c r="E36" i="6"/>
  <c r="D36" i="6"/>
  <c r="C36" i="6"/>
  <c r="H35" i="6"/>
  <c r="H34" i="6"/>
  <c r="G33" i="6"/>
  <c r="F33" i="6"/>
  <c r="E33" i="6"/>
  <c r="D33" i="6"/>
  <c r="D31" i="6" s="1"/>
  <c r="C33" i="6"/>
  <c r="H32" i="6"/>
  <c r="F31" i="6"/>
  <c r="F22" i="6" s="1"/>
  <c r="C31" i="6"/>
  <c r="H30" i="6"/>
  <c r="H29" i="6"/>
  <c r="H28" i="6"/>
  <c r="H27" i="6"/>
  <c r="H26" i="6"/>
  <c r="H25" i="6"/>
  <c r="H24" i="6"/>
  <c r="G23" i="6"/>
  <c r="H23" i="6" s="1"/>
  <c r="F23" i="6"/>
  <c r="E23" i="6"/>
  <c r="D23" i="6"/>
  <c r="C23" i="6"/>
  <c r="C22" i="6" s="1"/>
  <c r="H21" i="6"/>
  <c r="H19" i="6"/>
  <c r="H18" i="6"/>
  <c r="H17" i="6"/>
  <c r="H16" i="6"/>
  <c r="H15" i="6"/>
  <c r="G11" i="6"/>
  <c r="G10" i="6" s="1"/>
  <c r="F11" i="6"/>
  <c r="F10" i="6" s="1"/>
  <c r="E11" i="6"/>
  <c r="D11" i="6"/>
  <c r="C11" i="6"/>
  <c r="C10" i="6" s="1"/>
  <c r="E10" i="6"/>
  <c r="D10" i="6"/>
  <c r="F38" i="83"/>
  <c r="E37" i="83"/>
  <c r="D37" i="83"/>
  <c r="C37" i="83"/>
  <c r="F36" i="83"/>
  <c r="E35" i="83"/>
  <c r="D35" i="83"/>
  <c r="C35" i="83"/>
  <c r="F34" i="83"/>
  <c r="F33" i="83"/>
  <c r="F32" i="83"/>
  <c r="F31" i="83"/>
  <c r="F30" i="83"/>
  <c r="E29" i="83"/>
  <c r="F29" i="83" s="1"/>
  <c r="D29" i="83"/>
  <c r="C29" i="83"/>
  <c r="C28" i="83" s="1"/>
  <c r="C40" i="83" s="1"/>
  <c r="F24" i="83"/>
  <c r="F23" i="83"/>
  <c r="F22" i="83"/>
  <c r="F21" i="83"/>
  <c r="F20" i="83"/>
  <c r="E19" i="83"/>
  <c r="F19" i="83" s="1"/>
  <c r="D19" i="83"/>
  <c r="C19" i="83"/>
  <c r="F18" i="83"/>
  <c r="F17" i="83"/>
  <c r="E16" i="83"/>
  <c r="F16" i="83" s="1"/>
  <c r="D16" i="83"/>
  <c r="C16" i="83"/>
  <c r="F15" i="83"/>
  <c r="F14" i="83"/>
  <c r="F13" i="83"/>
  <c r="F12" i="83"/>
  <c r="E11" i="83"/>
  <c r="F11" i="83" s="1"/>
  <c r="D11" i="83"/>
  <c r="C11" i="83"/>
  <c r="D25" i="83"/>
  <c r="C25" i="83"/>
  <c r="F74" i="81"/>
  <c r="F70" i="81"/>
  <c r="F69" i="81"/>
  <c r="F68" i="81"/>
  <c r="F67" i="81"/>
  <c r="F66" i="81"/>
  <c r="F65" i="81"/>
  <c r="F63" i="81"/>
  <c r="F62" i="81"/>
  <c r="F61" i="81"/>
  <c r="F60" i="81"/>
  <c r="F59" i="81"/>
  <c r="F58" i="81"/>
  <c r="E57" i="81"/>
  <c r="F57" i="81" s="1"/>
  <c r="D57" i="81"/>
  <c r="D53" i="81" s="1"/>
  <c r="D71" i="81" s="1"/>
  <c r="D73" i="81" s="1"/>
  <c r="C57" i="81"/>
  <c r="F56" i="81"/>
  <c r="F55" i="81"/>
  <c r="F54" i="81"/>
  <c r="C53" i="81"/>
  <c r="C71" i="81" s="1"/>
  <c r="C73" i="81" s="1"/>
  <c r="F47" i="81"/>
  <c r="F46" i="81"/>
  <c r="F45" i="81"/>
  <c r="F44" i="81"/>
  <c r="F43" i="81"/>
  <c r="F42" i="81"/>
  <c r="F41" i="81"/>
  <c r="F40" i="81"/>
  <c r="F39" i="81"/>
  <c r="E38" i="81"/>
  <c r="F38" i="81" s="1"/>
  <c r="D38" i="81"/>
  <c r="D37" i="81" s="1"/>
  <c r="C38" i="81"/>
  <c r="C37" i="81" s="1"/>
  <c r="F33" i="81"/>
  <c r="F32" i="81"/>
  <c r="F31" i="81"/>
  <c r="F30" i="81"/>
  <c r="F29" i="81"/>
  <c r="F28" i="81"/>
  <c r="F26" i="81"/>
  <c r="E25" i="81"/>
  <c r="D25" i="81"/>
  <c r="F25" i="81" s="1"/>
  <c r="C25" i="81"/>
  <c r="F24" i="81"/>
  <c r="E22" i="81"/>
  <c r="D22" i="81"/>
  <c r="D20" i="81" s="1"/>
  <c r="D12" i="81" s="1"/>
  <c r="C22" i="81"/>
  <c r="F19" i="81"/>
  <c r="F17" i="81"/>
  <c r="F16" i="81"/>
  <c r="F15" i="81"/>
  <c r="F14" i="81"/>
  <c r="F11" i="81"/>
  <c r="E10" i="81"/>
  <c r="D10" i="81"/>
  <c r="C10" i="81"/>
  <c r="C18" i="2"/>
  <c r="C20" i="2" s="1"/>
  <c r="C12" i="2"/>
  <c r="C22" i="2" s="1"/>
  <c r="H101" i="71"/>
  <c r="H100" i="71"/>
  <c r="G99" i="71"/>
  <c r="D99" i="71"/>
  <c r="C99" i="71"/>
  <c r="H98" i="71"/>
  <c r="G97" i="71"/>
  <c r="D97" i="71"/>
  <c r="C97" i="71"/>
  <c r="G96" i="71"/>
  <c r="F96" i="71"/>
  <c r="E96" i="71"/>
  <c r="E87" i="71" s="1"/>
  <c r="D96" i="71"/>
  <c r="C96" i="71"/>
  <c r="H95" i="71"/>
  <c r="G94" i="71"/>
  <c r="D94" i="71"/>
  <c r="C94" i="71"/>
  <c r="H93" i="71"/>
  <c r="H92" i="71"/>
  <c r="G91" i="71"/>
  <c r="D91" i="71"/>
  <c r="C91" i="71"/>
  <c r="H90" i="71"/>
  <c r="H89" i="71"/>
  <c r="F88" i="71"/>
  <c r="F87" i="71" s="1"/>
  <c r="H86" i="71"/>
  <c r="H85" i="71"/>
  <c r="H84" i="71"/>
  <c r="H83" i="71"/>
  <c r="H82" i="71"/>
  <c r="H81" i="71"/>
  <c r="H79" i="71"/>
  <c r="H78" i="71"/>
  <c r="H77" i="71"/>
  <c r="H76" i="71"/>
  <c r="H75" i="71"/>
  <c r="H74" i="71"/>
  <c r="G73" i="71"/>
  <c r="F73" i="71"/>
  <c r="F69" i="71" s="1"/>
  <c r="E73" i="71"/>
  <c r="E69" i="71" s="1"/>
  <c r="D73" i="71"/>
  <c r="D69" i="71" s="1"/>
  <c r="C73" i="71"/>
  <c r="C69" i="71" s="1"/>
  <c r="H72" i="71"/>
  <c r="H71" i="71"/>
  <c r="H70" i="71"/>
  <c r="G69" i="71"/>
  <c r="H61" i="71"/>
  <c r="H60" i="71"/>
  <c r="H59" i="71"/>
  <c r="H58" i="71"/>
  <c r="H57" i="71"/>
  <c r="G56" i="71"/>
  <c r="F56" i="71"/>
  <c r="E56" i="71"/>
  <c r="D56" i="71"/>
  <c r="C56" i="71"/>
  <c r="H55" i="71"/>
  <c r="H54" i="71"/>
  <c r="H53" i="71"/>
  <c r="H52" i="71"/>
  <c r="H51" i="71"/>
  <c r="H50" i="71"/>
  <c r="H49" i="71"/>
  <c r="H48" i="71"/>
  <c r="H47" i="71"/>
  <c r="G46" i="71"/>
  <c r="F46" i="71"/>
  <c r="E46" i="71"/>
  <c r="D46" i="71"/>
  <c r="D45" i="71" s="1"/>
  <c r="C46" i="71"/>
  <c r="H44" i="71"/>
  <c r="H43" i="71"/>
  <c r="G42" i="71"/>
  <c r="F42" i="71"/>
  <c r="E42" i="71"/>
  <c r="D42" i="71"/>
  <c r="H41" i="71"/>
  <c r="H40" i="71"/>
  <c r="H39" i="71"/>
  <c r="H38" i="71"/>
  <c r="G37" i="71"/>
  <c r="F37" i="71"/>
  <c r="E37" i="71"/>
  <c r="D37" i="71"/>
  <c r="C37" i="71"/>
  <c r="H35" i="71"/>
  <c r="H34" i="71"/>
  <c r="H32" i="71"/>
  <c r="H31" i="71"/>
  <c r="H30" i="71"/>
  <c r="H29" i="71"/>
  <c r="H28" i="71"/>
  <c r="H27" i="71"/>
  <c r="H26" i="71"/>
  <c r="H25" i="71"/>
  <c r="G24" i="71"/>
  <c r="F24" i="71"/>
  <c r="F19" i="71" s="1"/>
  <c r="E24" i="71"/>
  <c r="D24" i="71"/>
  <c r="C24" i="71"/>
  <c r="H23" i="71"/>
  <c r="G21" i="71"/>
  <c r="D21" i="71"/>
  <c r="C21" i="71"/>
  <c r="C19" i="71" s="1"/>
  <c r="H20" i="71"/>
  <c r="E19" i="71"/>
  <c r="H18" i="71"/>
  <c r="H17" i="71"/>
  <c r="H16" i="71"/>
  <c r="H15" i="71"/>
  <c r="H14" i="71"/>
  <c r="H13" i="71"/>
  <c r="G12" i="71"/>
  <c r="F12" i="71"/>
  <c r="E12" i="71"/>
  <c r="D12" i="71"/>
  <c r="C12" i="71"/>
  <c r="H10" i="71"/>
  <c r="G9" i="71"/>
  <c r="F9" i="71"/>
  <c r="E9" i="71"/>
  <c r="D9" i="71"/>
  <c r="C9" i="71"/>
  <c r="F103" i="84"/>
  <c r="F99" i="84"/>
  <c r="F98" i="84"/>
  <c r="E97" i="84"/>
  <c r="F97" i="84" s="1"/>
  <c r="D97" i="84"/>
  <c r="C97" i="84"/>
  <c r="F96" i="84"/>
  <c r="E95" i="84"/>
  <c r="D95" i="84"/>
  <c r="F95" i="84" s="1"/>
  <c r="C95" i="84"/>
  <c r="E94" i="84"/>
  <c r="D94" i="84"/>
  <c r="C94" i="84"/>
  <c r="F93" i="84"/>
  <c r="E92" i="84"/>
  <c r="D92" i="84"/>
  <c r="C92" i="84"/>
  <c r="F91" i="84"/>
  <c r="F90" i="84"/>
  <c r="E89" i="84"/>
  <c r="D89" i="84"/>
  <c r="D86" i="84" s="1"/>
  <c r="D85" i="84" s="1"/>
  <c r="C89" i="84"/>
  <c r="F88" i="84"/>
  <c r="F87" i="84"/>
  <c r="F84" i="84"/>
  <c r="F83" i="84"/>
  <c r="F82" i="84"/>
  <c r="F81" i="84"/>
  <c r="F80" i="84"/>
  <c r="F79" i="84"/>
  <c r="F77" i="84"/>
  <c r="F76" i="84"/>
  <c r="F75" i="84"/>
  <c r="F74" i="84"/>
  <c r="F73" i="84"/>
  <c r="F72" i="84"/>
  <c r="E71" i="84"/>
  <c r="E67" i="84" s="1"/>
  <c r="D71" i="84"/>
  <c r="D67" i="84" s="1"/>
  <c r="C71" i="84"/>
  <c r="C67" i="84" s="1"/>
  <c r="F70" i="84"/>
  <c r="F69" i="84"/>
  <c r="F68" i="84"/>
  <c r="F61" i="84"/>
  <c r="F60" i="84"/>
  <c r="F59" i="84"/>
  <c r="F58" i="84"/>
  <c r="F57" i="84"/>
  <c r="E56" i="84"/>
  <c r="D56" i="84"/>
  <c r="C56" i="84"/>
  <c r="F55" i="84"/>
  <c r="F54" i="84"/>
  <c r="F53" i="84"/>
  <c r="F52" i="84"/>
  <c r="F51" i="84"/>
  <c r="F50" i="84"/>
  <c r="F49" i="84"/>
  <c r="F48" i="84"/>
  <c r="F47" i="84"/>
  <c r="E46" i="84"/>
  <c r="E45" i="84" s="1"/>
  <c r="D46" i="84"/>
  <c r="D45" i="84" s="1"/>
  <c r="C46" i="84"/>
  <c r="F44" i="84"/>
  <c r="F43" i="84"/>
  <c r="E42" i="84"/>
  <c r="D42" i="84"/>
  <c r="C42" i="84"/>
  <c r="F41" i="84"/>
  <c r="F40" i="84"/>
  <c r="F39" i="84"/>
  <c r="F38" i="84"/>
  <c r="E37" i="84"/>
  <c r="D37" i="84"/>
  <c r="C37" i="84"/>
  <c r="F35" i="84"/>
  <c r="F34" i="84"/>
  <c r="F32" i="84"/>
  <c r="F31" i="84"/>
  <c r="F30" i="84"/>
  <c r="F29" i="84"/>
  <c r="F28" i="84"/>
  <c r="F27" i="84"/>
  <c r="F26" i="84"/>
  <c r="F25" i="84"/>
  <c r="E24" i="84"/>
  <c r="D24" i="84"/>
  <c r="C24" i="84"/>
  <c r="F23" i="84"/>
  <c r="E21" i="84"/>
  <c r="D21" i="84"/>
  <c r="C21" i="84"/>
  <c r="F20" i="84"/>
  <c r="F18" i="84"/>
  <c r="F17" i="84"/>
  <c r="F16" i="84"/>
  <c r="F15" i="84"/>
  <c r="F14" i="84"/>
  <c r="F13" i="84"/>
  <c r="E12" i="84"/>
  <c r="D12" i="84"/>
  <c r="C12" i="84"/>
  <c r="F10" i="84"/>
  <c r="E9" i="84"/>
  <c r="D9" i="84"/>
  <c r="C9" i="84"/>
  <c r="I9" i="25" l="1"/>
  <c r="E47" i="25"/>
  <c r="G47" i="25" s="1"/>
  <c r="F309" i="25"/>
  <c r="F288" i="25" s="1"/>
  <c r="G288" i="25" s="1"/>
  <c r="E353" i="25"/>
  <c r="E334" i="25" s="1"/>
  <c r="G49" i="25"/>
  <c r="G244" i="25"/>
  <c r="F263" i="25"/>
  <c r="F242" i="25" s="1"/>
  <c r="G242" i="25" s="1"/>
  <c r="E441" i="25"/>
  <c r="G58" i="25"/>
  <c r="G279" i="25"/>
  <c r="G406" i="25"/>
  <c r="E485" i="25"/>
  <c r="E466" i="25" s="1"/>
  <c r="G32" i="25"/>
  <c r="G36" i="25"/>
  <c r="D124" i="25"/>
  <c r="D103" i="25" s="1"/>
  <c r="G172" i="25"/>
  <c r="G188" i="25"/>
  <c r="F217" i="25"/>
  <c r="F197" i="25" s="1"/>
  <c r="G272" i="25"/>
  <c r="G290" i="25"/>
  <c r="F353" i="25"/>
  <c r="F40" i="25"/>
  <c r="E40" i="25"/>
  <c r="E30" i="25" s="1"/>
  <c r="F77" i="25"/>
  <c r="F56" i="25" s="1"/>
  <c r="D77" i="25"/>
  <c r="G94" i="25"/>
  <c r="E263" i="25"/>
  <c r="E242" i="25" s="1"/>
  <c r="D263" i="25"/>
  <c r="D242" i="25" s="1"/>
  <c r="G467" i="25"/>
  <c r="G104" i="25"/>
  <c r="G289" i="25"/>
  <c r="D30" i="25"/>
  <c r="G151" i="25"/>
  <c r="F31" i="25"/>
  <c r="G35" i="25"/>
  <c r="G44" i="25"/>
  <c r="G48" i="25"/>
  <c r="D309" i="25"/>
  <c r="D288" i="25" s="1"/>
  <c r="D353" i="25"/>
  <c r="D334" i="25" s="1"/>
  <c r="D397" i="25"/>
  <c r="D378" i="25" s="1"/>
  <c r="F441" i="25"/>
  <c r="G17" i="25"/>
  <c r="G34" i="25"/>
  <c r="G38" i="25"/>
  <c r="D40" i="25"/>
  <c r="G43" i="25"/>
  <c r="E57" i="25"/>
  <c r="G57" i="25" s="1"/>
  <c r="D217" i="25"/>
  <c r="D197" i="25" s="1"/>
  <c r="E217" i="25"/>
  <c r="E197" i="25" s="1"/>
  <c r="G197" i="25" s="1"/>
  <c r="D441" i="25"/>
  <c r="D422" i="25" s="1"/>
  <c r="D466" i="25"/>
  <c r="H9" i="25"/>
  <c r="D56" i="25"/>
  <c r="G335" i="25"/>
  <c r="G41" i="25"/>
  <c r="G105" i="25"/>
  <c r="G134" i="25"/>
  <c r="F171" i="25"/>
  <c r="G171" i="25" s="1"/>
  <c r="G199" i="25"/>
  <c r="G264" i="25"/>
  <c r="E309" i="25"/>
  <c r="E288" i="25" s="1"/>
  <c r="G429" i="25"/>
  <c r="G14" i="25"/>
  <c r="D11" i="25"/>
  <c r="D10" i="25" s="1"/>
  <c r="E31" i="25"/>
  <c r="G33" i="25"/>
  <c r="G37" i="25"/>
  <c r="G42" i="25"/>
  <c r="D47" i="25"/>
  <c r="G125" i="25"/>
  <c r="G152" i="25"/>
  <c r="D171" i="25"/>
  <c r="D150" i="25" s="1"/>
  <c r="G336" i="25"/>
  <c r="F378" i="25"/>
  <c r="F18" i="25"/>
  <c r="G18" i="25" s="1"/>
  <c r="C75" i="6"/>
  <c r="C77" i="6" s="1"/>
  <c r="H48" i="6"/>
  <c r="F58" i="6"/>
  <c r="D22" i="6"/>
  <c r="D75" i="6" s="1"/>
  <c r="D77" i="6" s="1"/>
  <c r="H33" i="6"/>
  <c r="H55" i="6"/>
  <c r="H69" i="6"/>
  <c r="H58" i="6"/>
  <c r="G31" i="6"/>
  <c r="H31" i="6" s="1"/>
  <c r="E31" i="6"/>
  <c r="H59" i="6"/>
  <c r="E28" i="83"/>
  <c r="E40" i="83" s="1"/>
  <c r="F37" i="83"/>
  <c r="D28" i="83"/>
  <c r="D40" i="83" s="1"/>
  <c r="F10" i="81"/>
  <c r="F13" i="81"/>
  <c r="F22" i="81"/>
  <c r="E20" i="81"/>
  <c r="C20" i="81"/>
  <c r="H97" i="71"/>
  <c r="H24" i="71"/>
  <c r="F11" i="71"/>
  <c r="H56" i="71"/>
  <c r="C11" i="71"/>
  <c r="G88" i="71"/>
  <c r="G87" i="71" s="1"/>
  <c r="H9" i="71"/>
  <c r="H94" i="71"/>
  <c r="E11" i="71"/>
  <c r="H21" i="71"/>
  <c r="H36" i="71"/>
  <c r="H42" i="71"/>
  <c r="C45" i="71"/>
  <c r="C64" i="71" s="1"/>
  <c r="H46" i="71"/>
  <c r="D88" i="71"/>
  <c r="D87" i="71" s="1"/>
  <c r="D102" i="71" s="1"/>
  <c r="D104" i="71" s="1"/>
  <c r="H99" i="71"/>
  <c r="G19" i="71"/>
  <c r="G11" i="71" s="1"/>
  <c r="F45" i="71"/>
  <c r="H91" i="71"/>
  <c r="H96" i="71"/>
  <c r="H37" i="71"/>
  <c r="E45" i="71"/>
  <c r="E62" i="71" s="1"/>
  <c r="E64" i="71" s="1"/>
  <c r="E102" i="71"/>
  <c r="E104" i="71" s="1"/>
  <c r="H69" i="71"/>
  <c r="H73" i="71"/>
  <c r="C88" i="71"/>
  <c r="C87" i="71" s="1"/>
  <c r="C102" i="71" s="1"/>
  <c r="C104" i="71" s="1"/>
  <c r="F45" i="84"/>
  <c r="F89" i="84"/>
  <c r="F12" i="84"/>
  <c r="F92" i="84"/>
  <c r="C86" i="84"/>
  <c r="C85" i="84" s="1"/>
  <c r="F21" i="84"/>
  <c r="F37" i="84"/>
  <c r="F42" i="84"/>
  <c r="D100" i="84"/>
  <c r="D102" i="84" s="1"/>
  <c r="C45" i="84"/>
  <c r="F71" i="84"/>
  <c r="E86" i="84"/>
  <c r="F36" i="84"/>
  <c r="F46" i="84"/>
  <c r="F56" i="84"/>
  <c r="F67" i="84"/>
  <c r="F94" i="84"/>
  <c r="H18" i="60"/>
  <c r="H23" i="60" s="1"/>
  <c r="H9" i="9"/>
  <c r="G21" i="9"/>
  <c r="H21" i="9" s="1"/>
  <c r="H18" i="9"/>
  <c r="G372" i="69"/>
  <c r="F350" i="69"/>
  <c r="G350" i="69" s="1"/>
  <c r="G51" i="69"/>
  <c r="E34" i="69"/>
  <c r="G252" i="69"/>
  <c r="G275" i="69"/>
  <c r="F10" i="69"/>
  <c r="D10" i="69"/>
  <c r="D9" i="69"/>
  <c r="G60" i="69"/>
  <c r="G12" i="69"/>
  <c r="F35" i="69"/>
  <c r="G45" i="69"/>
  <c r="E154" i="69"/>
  <c r="F226" i="69"/>
  <c r="F324" i="69"/>
  <c r="G382" i="69"/>
  <c r="G81" i="69"/>
  <c r="D106" i="69"/>
  <c r="F128" i="69"/>
  <c r="E138" i="69"/>
  <c r="F154" i="69"/>
  <c r="G154" i="69" s="1"/>
  <c r="D350" i="69"/>
  <c r="E11" i="69"/>
  <c r="F334" i="25"/>
  <c r="G334" i="25" s="1"/>
  <c r="F29" i="25"/>
  <c r="F198" i="25"/>
  <c r="G198" i="25" s="1"/>
  <c r="G12" i="25"/>
  <c r="E77" i="25"/>
  <c r="F150" i="25"/>
  <c r="G150" i="25" s="1"/>
  <c r="E397" i="25"/>
  <c r="F424" i="25"/>
  <c r="G468" i="25"/>
  <c r="F243" i="25"/>
  <c r="G243" i="25" s="1"/>
  <c r="F124" i="25"/>
  <c r="E424" i="25"/>
  <c r="F466" i="25"/>
  <c r="H10" i="6"/>
  <c r="E22" i="6"/>
  <c r="E75" i="6" s="1"/>
  <c r="E77" i="6" s="1"/>
  <c r="H11" i="6"/>
  <c r="H50" i="6"/>
  <c r="E57" i="6"/>
  <c r="E48" i="6" s="1"/>
  <c r="F57" i="6"/>
  <c r="F48" i="6" s="1"/>
  <c r="F35" i="83"/>
  <c r="E37" i="81"/>
  <c r="F37" i="81" s="1"/>
  <c r="E53" i="81"/>
  <c r="D48" i="81"/>
  <c r="D50" i="81" s="1"/>
  <c r="C14" i="2"/>
  <c r="C21" i="2" s="1"/>
  <c r="F102" i="71"/>
  <c r="F104" i="71" s="1"/>
  <c r="H12" i="71"/>
  <c r="G102" i="71"/>
  <c r="D19" i="71"/>
  <c r="D62" i="71" s="1"/>
  <c r="D64" i="71" s="1"/>
  <c r="G45" i="71"/>
  <c r="H45" i="71" s="1"/>
  <c r="F19" i="84"/>
  <c r="C100" i="84"/>
  <c r="C102" i="84" s="1"/>
  <c r="F24" i="84"/>
  <c r="F9" i="84"/>
  <c r="G263" i="25" l="1"/>
  <c r="E29" i="25"/>
  <c r="E11" i="25" s="1"/>
  <c r="E9" i="25" s="1"/>
  <c r="G40" i="25"/>
  <c r="D9" i="25"/>
  <c r="G31" i="25"/>
  <c r="F30" i="25"/>
  <c r="G30" i="25" s="1"/>
  <c r="G466" i="25"/>
  <c r="F11" i="25"/>
  <c r="F10" i="25" s="1"/>
  <c r="G22" i="6"/>
  <c r="F75" i="6"/>
  <c r="F77" i="6" s="1"/>
  <c r="F28" i="83"/>
  <c r="E12" i="81"/>
  <c r="E48" i="81" s="1"/>
  <c r="C12" i="81"/>
  <c r="C48" i="81" s="1"/>
  <c r="C50" i="81" s="1"/>
  <c r="F20" i="81"/>
  <c r="F62" i="71"/>
  <c r="F64" i="71" s="1"/>
  <c r="H87" i="71"/>
  <c r="H88" i="71"/>
  <c r="H19" i="71"/>
  <c r="F11" i="84"/>
  <c r="C62" i="84"/>
  <c r="C64" i="84" s="1"/>
  <c r="D62" i="84"/>
  <c r="D64" i="84" s="1"/>
  <c r="F86" i="84"/>
  <c r="E85" i="84"/>
  <c r="E62" i="84"/>
  <c r="E10" i="69"/>
  <c r="G10" i="69" s="1"/>
  <c r="E9" i="69"/>
  <c r="G128" i="69"/>
  <c r="F106" i="69"/>
  <c r="F301" i="69"/>
  <c r="G301" i="69" s="1"/>
  <c r="G324" i="69"/>
  <c r="G35" i="69"/>
  <c r="F34" i="69"/>
  <c r="G138" i="69"/>
  <c r="E128" i="69"/>
  <c r="E106" i="69" s="1"/>
  <c r="F204" i="69"/>
  <c r="G204" i="69" s="1"/>
  <c r="G226" i="69"/>
  <c r="G11" i="69"/>
  <c r="G424" i="25"/>
  <c r="F423" i="25"/>
  <c r="F422" i="25"/>
  <c r="F103" i="25"/>
  <c r="G103" i="25" s="1"/>
  <c r="G124" i="25"/>
  <c r="G397" i="25"/>
  <c r="E378" i="25"/>
  <c r="G378" i="25" s="1"/>
  <c r="E422" i="25"/>
  <c r="E423" i="25"/>
  <c r="E56" i="25"/>
  <c r="G56" i="25" s="1"/>
  <c r="G77" i="25"/>
  <c r="E25" i="83"/>
  <c r="F25" i="83" s="1"/>
  <c r="F10" i="83"/>
  <c r="F53" i="81"/>
  <c r="E71" i="81"/>
  <c r="H11" i="71"/>
  <c r="G62" i="71"/>
  <c r="G104" i="71"/>
  <c r="H104" i="71" s="1"/>
  <c r="H102" i="71"/>
  <c r="E10" i="25" l="1"/>
  <c r="G11" i="25"/>
  <c r="F9" i="25"/>
  <c r="G9" i="25" s="1"/>
  <c r="G422" i="25"/>
  <c r="G10" i="25"/>
  <c r="H22" i="6"/>
  <c r="G75" i="6"/>
  <c r="F12" i="81"/>
  <c r="F62" i="84"/>
  <c r="E64" i="84"/>
  <c r="F64" i="84" s="1"/>
  <c r="F85" i="84"/>
  <c r="E100" i="84"/>
  <c r="G34" i="69"/>
  <c r="F9" i="69"/>
  <c r="G9" i="69" s="1"/>
  <c r="G106" i="69"/>
  <c r="G423" i="25"/>
  <c r="F71" i="81"/>
  <c r="E73" i="81"/>
  <c r="F73" i="81" s="1"/>
  <c r="F48" i="81"/>
  <c r="E50" i="81"/>
  <c r="F50" i="81" s="1"/>
  <c r="G64" i="71"/>
  <c r="H64" i="71" s="1"/>
  <c r="H62" i="71"/>
  <c r="H75" i="6" l="1"/>
  <c r="G77" i="6"/>
  <c r="H77" i="6" s="1"/>
  <c r="F100" i="84"/>
  <c r="E102" i="84"/>
  <c r="F102" i="84" s="1"/>
  <c r="R17" i="79"/>
  <c r="G16" i="67"/>
  <c r="F16" i="67"/>
  <c r="E11" i="65"/>
  <c r="F11" i="65"/>
  <c r="G11" i="65"/>
  <c r="C14" i="67" l="1"/>
  <c r="D14" i="67"/>
  <c r="E14" i="67"/>
  <c r="F14" i="67"/>
  <c r="G14" i="67"/>
  <c r="B14" i="67"/>
  <c r="B14" i="61"/>
  <c r="D166" i="78"/>
  <c r="D136" i="78"/>
  <c r="D222" i="78"/>
  <c r="D117" i="78"/>
  <c r="D97" i="78"/>
  <c r="D108" i="78"/>
  <c r="D146" i="78"/>
  <c r="D127" i="78"/>
  <c r="D175" i="78"/>
  <c r="D156" i="78"/>
  <c r="D207" i="78"/>
  <c r="D191" i="78"/>
  <c r="D193" i="78"/>
  <c r="D87" i="78"/>
  <c r="D77" i="78"/>
  <c r="D52" i="78"/>
  <c r="D12" i="78"/>
  <c r="D14" i="78"/>
  <c r="D17" i="78"/>
  <c r="D16" i="78"/>
  <c r="D15" i="78"/>
  <c r="D197" i="78"/>
  <c r="D141" i="78"/>
  <c r="D82" i="78"/>
  <c r="D72" i="78"/>
  <c r="D45" i="78"/>
  <c r="D42" i="78"/>
  <c r="D41" i="78"/>
  <c r="L26" i="59"/>
  <c r="L25" i="59"/>
  <c r="E27" i="82"/>
  <c r="D27" i="82"/>
  <c r="J28" i="79"/>
  <c r="F26" i="79"/>
  <c r="D34" i="62"/>
  <c r="D29" i="62"/>
  <c r="D28" i="62"/>
  <c r="D26" i="62"/>
  <c r="D25" i="62"/>
  <c r="D24" i="62"/>
  <c r="D20" i="62"/>
  <c r="D19" i="62"/>
  <c r="D17" i="62"/>
  <c r="D16" i="62"/>
  <c r="D15" i="62"/>
  <c r="D22" i="62"/>
  <c r="D14" i="62"/>
  <c r="D8" i="62"/>
  <c r="D268" i="5"/>
  <c r="D253" i="5"/>
  <c r="D200" i="5"/>
  <c r="D198" i="5"/>
  <c r="D196" i="5"/>
  <c r="D192" i="5"/>
  <c r="D184" i="5"/>
  <c r="D170" i="5"/>
  <c r="D61" i="5"/>
  <c r="D60" i="5"/>
  <c r="D13" i="5"/>
  <c r="D12" i="5"/>
  <c r="D267" i="5"/>
  <c r="D231" i="5"/>
  <c r="D36" i="5"/>
  <c r="D183" i="5"/>
  <c r="D175" i="5"/>
  <c r="D171" i="5"/>
  <c r="D156" i="5"/>
  <c r="D152" i="5"/>
  <c r="D266" i="5"/>
  <c r="D169" i="5"/>
  <c r="C110" i="5"/>
  <c r="D12" i="63"/>
  <c r="E32" i="63"/>
  <c r="D13" i="10"/>
  <c r="E37" i="89"/>
  <c r="E35" i="89"/>
  <c r="E33" i="89"/>
  <c r="J27" i="89"/>
  <c r="J26" i="89"/>
  <c r="J24" i="89"/>
  <c r="J22" i="89"/>
  <c r="J21" i="89"/>
  <c r="J19" i="89"/>
  <c r="J18" i="89"/>
  <c r="J17" i="89"/>
  <c r="J16" i="89"/>
  <c r="J15" i="89"/>
  <c r="J14" i="89"/>
  <c r="J13" i="89"/>
  <c r="J12" i="89"/>
  <c r="J10" i="89"/>
  <c r="J9" i="89"/>
  <c r="J8" i="89"/>
  <c r="E10" i="89"/>
  <c r="E11" i="89"/>
  <c r="E12" i="89"/>
  <c r="E13" i="89"/>
  <c r="E14" i="89"/>
  <c r="E15" i="89"/>
  <c r="E16" i="89"/>
  <c r="E17" i="89"/>
  <c r="E18" i="89"/>
  <c r="E19" i="89"/>
  <c r="E20" i="89"/>
  <c r="E21" i="89"/>
  <c r="E22" i="89"/>
  <c r="E23" i="89"/>
  <c r="E24" i="89"/>
  <c r="E25" i="89"/>
  <c r="E26" i="89"/>
  <c r="E27" i="89"/>
  <c r="E28" i="89"/>
  <c r="N29" i="87"/>
  <c r="N26" i="87"/>
  <c r="N24" i="87"/>
  <c r="N23" i="87"/>
  <c r="N20" i="87"/>
  <c r="N19" i="87"/>
  <c r="N16" i="87"/>
  <c r="N15" i="87"/>
  <c r="N14" i="87"/>
  <c r="N12" i="87"/>
  <c r="N11" i="87"/>
  <c r="I11" i="86"/>
  <c r="F22" i="85"/>
  <c r="E22" i="85"/>
  <c r="E23" i="85" s="1"/>
  <c r="F19" i="85"/>
  <c r="F23" i="85" s="1"/>
  <c r="E19" i="85"/>
  <c r="G21" i="85"/>
  <c r="G20" i="85"/>
  <c r="G29" i="89"/>
  <c r="F29" i="89"/>
  <c r="D29" i="89"/>
  <c r="C29" i="89"/>
  <c r="H28" i="89"/>
  <c r="I28" i="89" s="1"/>
  <c r="K28" i="89" s="1"/>
  <c r="H27" i="89"/>
  <c r="I27" i="89" s="1"/>
  <c r="H26" i="89"/>
  <c r="H25" i="89"/>
  <c r="H24" i="89"/>
  <c r="H23" i="89"/>
  <c r="I23" i="89" s="1"/>
  <c r="K23" i="89" s="1"/>
  <c r="H22" i="89"/>
  <c r="H21" i="89"/>
  <c r="H20" i="89"/>
  <c r="I20" i="89" s="1"/>
  <c r="K20" i="89" s="1"/>
  <c r="H19" i="89"/>
  <c r="I19" i="89" s="1"/>
  <c r="H18" i="89"/>
  <c r="H17" i="89"/>
  <c r="H16" i="89"/>
  <c r="I16" i="89" s="1"/>
  <c r="H15" i="89"/>
  <c r="I15" i="89" s="1"/>
  <c r="H14" i="89"/>
  <c r="H13" i="89"/>
  <c r="H12" i="89"/>
  <c r="I12" i="89" s="1"/>
  <c r="H11" i="89"/>
  <c r="I11" i="89" s="1"/>
  <c r="K11" i="89" s="1"/>
  <c r="H10" i="89"/>
  <c r="H9" i="89"/>
  <c r="I9" i="89" s="1"/>
  <c r="E9" i="89"/>
  <c r="H8" i="89"/>
  <c r="E8" i="89"/>
  <c r="I13" i="88"/>
  <c r="G13" i="88"/>
  <c r="F13" i="88"/>
  <c r="E13" i="88"/>
  <c r="D13" i="88"/>
  <c r="C13" i="88"/>
  <c r="H12" i="88"/>
  <c r="H13" i="88" s="1"/>
  <c r="K31" i="87"/>
  <c r="J31" i="87"/>
  <c r="I31" i="87"/>
  <c r="H31" i="87"/>
  <c r="G31" i="87"/>
  <c r="F31" i="87"/>
  <c r="D31" i="87"/>
  <c r="C31" i="87"/>
  <c r="L30" i="87"/>
  <c r="M30" i="87" s="1"/>
  <c r="O30" i="87" s="1"/>
  <c r="E30" i="87"/>
  <c r="L29" i="87"/>
  <c r="M29" i="87" s="1"/>
  <c r="E29" i="87"/>
  <c r="L28" i="87"/>
  <c r="M28" i="87" s="1"/>
  <c r="O28" i="87" s="1"/>
  <c r="E28" i="87"/>
  <c r="L27" i="87"/>
  <c r="M27" i="87" s="1"/>
  <c r="O27" i="87" s="1"/>
  <c r="E27" i="87"/>
  <c r="L26" i="87"/>
  <c r="E26" i="87"/>
  <c r="L25" i="87"/>
  <c r="M25" i="87" s="1"/>
  <c r="O25" i="87" s="1"/>
  <c r="E25" i="87"/>
  <c r="L24" i="87"/>
  <c r="M24" i="87" s="1"/>
  <c r="E24" i="87"/>
  <c r="L23" i="87"/>
  <c r="M23" i="87" s="1"/>
  <c r="E23" i="87"/>
  <c r="L22" i="87"/>
  <c r="M22" i="87" s="1"/>
  <c r="O22" i="87" s="1"/>
  <c r="E22" i="87"/>
  <c r="L21" i="87"/>
  <c r="M21" i="87" s="1"/>
  <c r="O21" i="87" s="1"/>
  <c r="E21" i="87"/>
  <c r="L20" i="87"/>
  <c r="E20" i="87"/>
  <c r="L19" i="87"/>
  <c r="M19" i="87" s="1"/>
  <c r="E19" i="87"/>
  <c r="L18" i="87"/>
  <c r="M18" i="87" s="1"/>
  <c r="O18" i="87" s="1"/>
  <c r="E18" i="87"/>
  <c r="L17" i="87"/>
  <c r="M17" i="87" s="1"/>
  <c r="O17" i="87" s="1"/>
  <c r="E17" i="87"/>
  <c r="M16" i="87"/>
  <c r="L16" i="87"/>
  <c r="E16" i="87"/>
  <c r="L15" i="87"/>
  <c r="E15" i="87"/>
  <c r="L14" i="87"/>
  <c r="M14" i="87" s="1"/>
  <c r="E14" i="87"/>
  <c r="L13" i="87"/>
  <c r="M13" i="87" s="1"/>
  <c r="O13" i="87" s="1"/>
  <c r="E13" i="87"/>
  <c r="L12" i="87"/>
  <c r="M12" i="87" s="1"/>
  <c r="O12" i="87" s="1"/>
  <c r="E12" i="87"/>
  <c r="L11" i="87"/>
  <c r="M11" i="87" s="1"/>
  <c r="O11" i="87" s="1"/>
  <c r="E11" i="87"/>
  <c r="L10" i="87"/>
  <c r="M10" i="87" s="1"/>
  <c r="E10" i="87"/>
  <c r="I31" i="86"/>
  <c r="F31" i="86"/>
  <c r="E31" i="86"/>
  <c r="D31" i="86"/>
  <c r="C31" i="86"/>
  <c r="G30" i="86"/>
  <c r="H30" i="86" s="1"/>
  <c r="J30" i="86" s="1"/>
  <c r="G29" i="86"/>
  <c r="H29" i="86" s="1"/>
  <c r="J29" i="86" s="1"/>
  <c r="H28" i="86"/>
  <c r="J28" i="86" s="1"/>
  <c r="G28" i="86"/>
  <c r="G27" i="86"/>
  <c r="H27" i="86" s="1"/>
  <c r="J27" i="86" s="1"/>
  <c r="G26" i="86"/>
  <c r="H26" i="86" s="1"/>
  <c r="J26" i="86" s="1"/>
  <c r="G25" i="86"/>
  <c r="H25" i="86" s="1"/>
  <c r="J25" i="86" s="1"/>
  <c r="G24" i="86"/>
  <c r="H24" i="86" s="1"/>
  <c r="J24" i="86" s="1"/>
  <c r="G23" i="86"/>
  <c r="H23" i="86" s="1"/>
  <c r="J23" i="86" s="1"/>
  <c r="G22" i="86"/>
  <c r="H22" i="86" s="1"/>
  <c r="J22" i="86" s="1"/>
  <c r="G21" i="86"/>
  <c r="H21" i="86" s="1"/>
  <c r="J21" i="86" s="1"/>
  <c r="H20" i="86"/>
  <c r="J20" i="86" s="1"/>
  <c r="G20" i="86"/>
  <c r="G19" i="86"/>
  <c r="H19" i="86" s="1"/>
  <c r="J19" i="86" s="1"/>
  <c r="G18" i="86"/>
  <c r="H18" i="86" s="1"/>
  <c r="J18" i="86" s="1"/>
  <c r="G17" i="86"/>
  <c r="H17" i="86" s="1"/>
  <c r="J17" i="86" s="1"/>
  <c r="G16" i="86"/>
  <c r="H16" i="86" s="1"/>
  <c r="J16" i="86" s="1"/>
  <c r="G15" i="86"/>
  <c r="H15" i="86" s="1"/>
  <c r="J15" i="86" s="1"/>
  <c r="G14" i="86"/>
  <c r="H14" i="86" s="1"/>
  <c r="J14" i="86" s="1"/>
  <c r="G13" i="86"/>
  <c r="H13" i="86" s="1"/>
  <c r="J13" i="86" s="1"/>
  <c r="H12" i="86"/>
  <c r="J12" i="86" s="1"/>
  <c r="G12" i="86"/>
  <c r="G11" i="86"/>
  <c r="H11" i="86" s="1"/>
  <c r="G10" i="86"/>
  <c r="H10" i="86" s="1"/>
  <c r="G18" i="85"/>
  <c r="G17" i="85"/>
  <c r="G16" i="85"/>
  <c r="G15" i="85"/>
  <c r="G14" i="85"/>
  <c r="G13" i="85"/>
  <c r="G12" i="85"/>
  <c r="G11" i="85"/>
  <c r="G10" i="85"/>
  <c r="G9" i="85"/>
  <c r="G8" i="85"/>
  <c r="I14" i="89" l="1"/>
  <c r="I18" i="89"/>
  <c r="K18" i="89" s="1"/>
  <c r="I26" i="89"/>
  <c r="K26" i="89" s="1"/>
  <c r="I8" i="89"/>
  <c r="K8" i="89" s="1"/>
  <c r="I10" i="89"/>
  <c r="I22" i="89"/>
  <c r="K22" i="89" s="1"/>
  <c r="K12" i="89"/>
  <c r="E38" i="89"/>
  <c r="K27" i="89"/>
  <c r="K19" i="89"/>
  <c r="K16" i="89"/>
  <c r="K15" i="89"/>
  <c r="K14" i="89"/>
  <c r="K10" i="89"/>
  <c r="K9" i="89"/>
  <c r="J29" i="89"/>
  <c r="I13" i="89"/>
  <c r="K13" i="89" s="1"/>
  <c r="I17" i="89"/>
  <c r="K17" i="89" s="1"/>
  <c r="I21" i="89"/>
  <c r="K21" i="89" s="1"/>
  <c r="I25" i="89"/>
  <c r="K25" i="89" s="1"/>
  <c r="I24" i="89"/>
  <c r="K24" i="89" s="1"/>
  <c r="E29" i="89"/>
  <c r="J12" i="88"/>
  <c r="J13" i="88" s="1"/>
  <c r="O29" i="87"/>
  <c r="O24" i="87"/>
  <c r="O23" i="87"/>
  <c r="O19" i="87"/>
  <c r="O16" i="87"/>
  <c r="O14" i="87"/>
  <c r="N31" i="87"/>
  <c r="M20" i="87"/>
  <c r="O20" i="87" s="1"/>
  <c r="M15" i="87"/>
  <c r="O15" i="87" s="1"/>
  <c r="M26" i="87"/>
  <c r="O26" i="87" s="1"/>
  <c r="E31" i="87"/>
  <c r="L31" i="87"/>
  <c r="J11" i="86"/>
  <c r="G22" i="85"/>
  <c r="G19" i="85"/>
  <c r="H29" i="89"/>
  <c r="O10" i="87"/>
  <c r="J10" i="86"/>
  <c r="J31" i="86" s="1"/>
  <c r="H31" i="86"/>
  <c r="G31" i="86"/>
  <c r="I29" i="89" l="1"/>
  <c r="K29" i="89"/>
  <c r="O31" i="87"/>
  <c r="M31" i="87"/>
  <c r="G23" i="85"/>
  <c r="E47" i="13" l="1"/>
  <c r="M40" i="78" l="1"/>
  <c r="G40" i="78"/>
  <c r="F40" i="78"/>
  <c r="D40" i="78"/>
  <c r="D232" i="78" s="1"/>
  <c r="F29" i="63" l="1"/>
  <c r="F32" i="63" s="1"/>
  <c r="G29" i="63"/>
  <c r="G32" i="63" s="1"/>
  <c r="E29" i="63"/>
  <c r="F28" i="24"/>
  <c r="G28" i="24"/>
  <c r="E28" i="24"/>
  <c r="E7" i="67"/>
  <c r="F7" i="67"/>
  <c r="G7" i="67"/>
  <c r="E8" i="67"/>
  <c r="F8" i="67"/>
  <c r="G8" i="67"/>
  <c r="E9" i="67"/>
  <c r="F9" i="67"/>
  <c r="G9" i="67"/>
  <c r="E10" i="67"/>
  <c r="F10" i="67"/>
  <c r="G10" i="67"/>
  <c r="E11" i="67"/>
  <c r="F11" i="67"/>
  <c r="G11" i="67"/>
  <c r="E12" i="67"/>
  <c r="F12" i="67"/>
  <c r="G12" i="67"/>
  <c r="E13" i="67"/>
  <c r="F13" i="67"/>
  <c r="G13" i="67"/>
  <c r="E15" i="67"/>
  <c r="F15" i="67"/>
  <c r="G15" i="67"/>
  <c r="E16" i="67"/>
  <c r="E17" i="67"/>
  <c r="F17" i="67"/>
  <c r="G17" i="67"/>
  <c r="E18" i="67"/>
  <c r="F18" i="67"/>
  <c r="G18" i="67"/>
  <c r="E19" i="67"/>
  <c r="F19" i="67"/>
  <c r="G19" i="67"/>
  <c r="E20" i="67"/>
  <c r="F20" i="67"/>
  <c r="G20" i="67"/>
  <c r="E21" i="67"/>
  <c r="F21" i="67"/>
  <c r="G21" i="67"/>
  <c r="E22" i="67"/>
  <c r="F22" i="67"/>
  <c r="G22" i="67"/>
  <c r="E23" i="67"/>
  <c r="F23" i="67"/>
  <c r="G23" i="67"/>
  <c r="E25" i="67"/>
  <c r="F25" i="67"/>
  <c r="G25" i="67"/>
  <c r="E26" i="67"/>
  <c r="F26" i="67"/>
  <c r="G26" i="67"/>
  <c r="E27" i="67"/>
  <c r="F27" i="67"/>
  <c r="G27" i="67"/>
  <c r="E28" i="67"/>
  <c r="F28" i="67"/>
  <c r="G28" i="67"/>
  <c r="E30" i="67"/>
  <c r="E31" i="67" s="1"/>
  <c r="F30" i="67"/>
  <c r="F31" i="67" s="1"/>
  <c r="G30" i="67"/>
  <c r="G31" i="67" s="1"/>
  <c r="E32" i="67"/>
  <c r="E33" i="67" s="1"/>
  <c r="F32" i="67"/>
  <c r="F33" i="67" s="1"/>
  <c r="G32" i="67"/>
  <c r="G33" i="67" s="1"/>
  <c r="E34" i="67"/>
  <c r="F34" i="67"/>
  <c r="G34" i="67"/>
  <c r="E35" i="67"/>
  <c r="F35" i="67"/>
  <c r="G35" i="67"/>
  <c r="G42" i="67" s="1"/>
  <c r="E37" i="67"/>
  <c r="E38" i="67" s="1"/>
  <c r="F37" i="67"/>
  <c r="F38" i="67" s="1"/>
  <c r="G37" i="67"/>
  <c r="G38" i="67" s="1"/>
  <c r="F41" i="67"/>
  <c r="F27" i="22"/>
  <c r="G27" i="22"/>
  <c r="E27" i="22"/>
  <c r="E36" i="67" l="1"/>
  <c r="G29" i="67"/>
  <c r="G40" i="67"/>
  <c r="E41" i="67"/>
  <c r="E42" i="67"/>
  <c r="G36" i="67"/>
  <c r="F36" i="67"/>
  <c r="E40" i="67"/>
  <c r="F42" i="67"/>
  <c r="E24" i="67"/>
  <c r="G24" i="67"/>
  <c r="F24" i="67"/>
  <c r="F39" i="67"/>
  <c r="G41" i="67"/>
  <c r="F40" i="67"/>
  <c r="E39" i="67"/>
  <c r="F29" i="67"/>
  <c r="E29" i="67"/>
  <c r="E43" i="67" s="1"/>
  <c r="G39" i="67"/>
  <c r="G43" i="67" l="1"/>
  <c r="F43" i="67"/>
  <c r="E53" i="82" l="1"/>
  <c r="E43" i="82"/>
  <c r="D43" i="82"/>
  <c r="D50" i="82" s="1"/>
  <c r="C43" i="82"/>
  <c r="C48" i="82" s="1"/>
  <c r="C50" i="82" s="1"/>
  <c r="C27" i="82"/>
  <c r="E22" i="82"/>
  <c r="D22" i="82"/>
  <c r="C22" i="82"/>
  <c r="E28" i="82" l="1"/>
  <c r="E31" i="82" s="1"/>
  <c r="C28" i="82"/>
  <c r="C31" i="82" s="1"/>
  <c r="D28" i="82"/>
  <c r="D31" i="82" s="1"/>
  <c r="E50" i="82"/>
  <c r="E54" i="82" l="1"/>
  <c r="E51" i="82"/>
  <c r="E32" i="80" l="1"/>
  <c r="D32" i="80"/>
  <c r="C32" i="80"/>
  <c r="E31" i="80"/>
  <c r="D31" i="80"/>
  <c r="C31" i="80"/>
  <c r="E30" i="80"/>
  <c r="D30" i="80"/>
  <c r="C30" i="80"/>
  <c r="E29" i="80"/>
  <c r="D29" i="80"/>
  <c r="C29" i="80"/>
  <c r="M21" i="80"/>
  <c r="L21" i="80"/>
  <c r="K21" i="80"/>
  <c r="I21" i="80"/>
  <c r="H21" i="80"/>
  <c r="G21" i="80"/>
  <c r="E21" i="80"/>
  <c r="D21" i="80"/>
  <c r="C21" i="80"/>
  <c r="J20" i="80"/>
  <c r="F20" i="80"/>
  <c r="J19" i="80"/>
  <c r="F19" i="80"/>
  <c r="J18" i="80"/>
  <c r="F18" i="80"/>
  <c r="J17" i="80"/>
  <c r="F17" i="80"/>
  <c r="M12" i="80"/>
  <c r="L12" i="80"/>
  <c r="K12" i="80"/>
  <c r="I12" i="80"/>
  <c r="H12" i="80"/>
  <c r="G12" i="80"/>
  <c r="E12" i="80"/>
  <c r="D12" i="80"/>
  <c r="C12" i="80"/>
  <c r="J11" i="80"/>
  <c r="F11" i="80"/>
  <c r="N10" i="80"/>
  <c r="J10" i="80"/>
  <c r="F10" i="80"/>
  <c r="J9" i="80"/>
  <c r="F9" i="80"/>
  <c r="F8" i="80"/>
  <c r="E39" i="79"/>
  <c r="D39" i="79"/>
  <c r="C39" i="79"/>
  <c r="E38" i="79"/>
  <c r="D38" i="79"/>
  <c r="C38" i="79"/>
  <c r="E37" i="79"/>
  <c r="D37" i="79"/>
  <c r="C37" i="79"/>
  <c r="E36" i="79"/>
  <c r="D36" i="79"/>
  <c r="C36" i="79"/>
  <c r="I30" i="79"/>
  <c r="H30" i="79"/>
  <c r="G30" i="79"/>
  <c r="E30" i="79"/>
  <c r="D30" i="79"/>
  <c r="C30" i="79"/>
  <c r="R21" i="79"/>
  <c r="Q21" i="79"/>
  <c r="P21" i="79"/>
  <c r="O21" i="79"/>
  <c r="M21" i="79"/>
  <c r="L21" i="79"/>
  <c r="K21" i="79"/>
  <c r="I21" i="79"/>
  <c r="H21" i="79"/>
  <c r="G21" i="79"/>
  <c r="E21" i="79"/>
  <c r="D21" i="79"/>
  <c r="C21" i="79"/>
  <c r="F20" i="79"/>
  <c r="F19" i="79"/>
  <c r="F18" i="79"/>
  <c r="N17" i="79"/>
  <c r="N21" i="79" s="1"/>
  <c r="J17" i="79"/>
  <c r="F17" i="79"/>
  <c r="Q12" i="79"/>
  <c r="P12" i="79"/>
  <c r="O12" i="79"/>
  <c r="M12" i="79"/>
  <c r="L12" i="79"/>
  <c r="K12" i="79"/>
  <c r="I12" i="79"/>
  <c r="H12" i="79"/>
  <c r="G12" i="79"/>
  <c r="E12" i="79"/>
  <c r="D12" i="79"/>
  <c r="C12" i="79"/>
  <c r="N11" i="79"/>
  <c r="J11" i="79"/>
  <c r="F11" i="79"/>
  <c r="N10" i="79"/>
  <c r="J10" i="79"/>
  <c r="F10" i="79"/>
  <c r="N9" i="79"/>
  <c r="J9" i="79"/>
  <c r="F9" i="79"/>
  <c r="R8" i="79"/>
  <c r="N8" i="79"/>
  <c r="J8" i="79"/>
  <c r="F8" i="79"/>
  <c r="F12" i="80" l="1"/>
  <c r="N12" i="80"/>
  <c r="C33" i="80"/>
  <c r="J21" i="79"/>
  <c r="F30" i="79"/>
  <c r="C40" i="79"/>
  <c r="F12" i="79"/>
  <c r="F39" i="79"/>
  <c r="F21" i="80"/>
  <c r="D33" i="80"/>
  <c r="F30" i="80"/>
  <c r="N12" i="79"/>
  <c r="F21" i="79"/>
  <c r="D40" i="79"/>
  <c r="F37" i="79"/>
  <c r="F32" i="80"/>
  <c r="F36" i="79"/>
  <c r="F38" i="79"/>
  <c r="J21" i="80"/>
  <c r="F29" i="80"/>
  <c r="F31" i="80"/>
  <c r="J12" i="79"/>
  <c r="R12" i="79"/>
  <c r="J12" i="80"/>
  <c r="E33" i="80"/>
  <c r="E40" i="79"/>
  <c r="F33" i="80" l="1"/>
  <c r="F40" i="79"/>
  <c r="N229" i="78"/>
  <c r="M229" i="78"/>
  <c r="L229" i="78"/>
  <c r="K229" i="78"/>
  <c r="J229" i="78"/>
  <c r="I229" i="78"/>
  <c r="H229" i="78"/>
  <c r="G229" i="78"/>
  <c r="F229" i="78"/>
  <c r="E229" i="78"/>
  <c r="D229" i="78"/>
  <c r="P228" i="78"/>
  <c r="O228" i="78"/>
  <c r="P227" i="78"/>
  <c r="O227" i="78"/>
  <c r="M226" i="78"/>
  <c r="H226" i="78"/>
  <c r="G226" i="78"/>
  <c r="F226" i="78"/>
  <c r="F230" i="78" s="1"/>
  <c r="E226" i="78"/>
  <c r="D226" i="78"/>
  <c r="P225" i="78"/>
  <c r="O225" i="78"/>
  <c r="P224" i="78"/>
  <c r="O224" i="78"/>
  <c r="P223" i="78"/>
  <c r="O223" i="78"/>
  <c r="P222" i="78"/>
  <c r="O222" i="78"/>
  <c r="N219" i="78"/>
  <c r="N220" i="78" s="1"/>
  <c r="N226" i="78" s="1"/>
  <c r="N230" i="78" s="1"/>
  <c r="M219" i="78"/>
  <c r="M220" i="78" s="1"/>
  <c r="L219" i="78"/>
  <c r="L220" i="78" s="1"/>
  <c r="L226" i="78" s="1"/>
  <c r="L230" i="78" s="1"/>
  <c r="K219" i="78"/>
  <c r="K220" i="78" s="1"/>
  <c r="K226" i="78" s="1"/>
  <c r="J219" i="78"/>
  <c r="J220" i="78" s="1"/>
  <c r="J226" i="78" s="1"/>
  <c r="J230" i="78" s="1"/>
  <c r="I219" i="78"/>
  <c r="I220" i="78" s="1"/>
  <c r="I226" i="78" s="1"/>
  <c r="H219" i="78"/>
  <c r="H220" i="78" s="1"/>
  <c r="G219" i="78"/>
  <c r="G220" i="78" s="1"/>
  <c r="F219" i="78"/>
  <c r="F220" i="78" s="1"/>
  <c r="E219" i="78"/>
  <c r="E220" i="78" s="1"/>
  <c r="D219" i="78"/>
  <c r="D220" i="78" s="1"/>
  <c r="P218" i="78"/>
  <c r="O218" i="78"/>
  <c r="P217" i="78"/>
  <c r="O217" i="78"/>
  <c r="N214" i="78"/>
  <c r="M214" i="78"/>
  <c r="L214" i="78"/>
  <c r="K214" i="78"/>
  <c r="J214" i="78"/>
  <c r="I214" i="78"/>
  <c r="H214" i="78"/>
  <c r="G214" i="78"/>
  <c r="F214" i="78"/>
  <c r="E214" i="78"/>
  <c r="D214" i="78"/>
  <c r="P213" i="78"/>
  <c r="O213" i="78"/>
  <c r="P212" i="78"/>
  <c r="O212" i="78"/>
  <c r="M211" i="78"/>
  <c r="H211" i="78"/>
  <c r="G211" i="78"/>
  <c r="F211" i="78"/>
  <c r="E211" i="78"/>
  <c r="D211" i="78"/>
  <c r="P210" i="78"/>
  <c r="O210" i="78"/>
  <c r="P209" i="78"/>
  <c r="O209" i="78"/>
  <c r="P208" i="78"/>
  <c r="O208" i="78"/>
  <c r="P207" i="78"/>
  <c r="O207" i="78"/>
  <c r="N204" i="78"/>
  <c r="N205" i="78" s="1"/>
  <c r="N211" i="78" s="1"/>
  <c r="M204" i="78"/>
  <c r="M205" i="78" s="1"/>
  <c r="L204" i="78"/>
  <c r="L205" i="78" s="1"/>
  <c r="L211" i="78" s="1"/>
  <c r="K204" i="78"/>
  <c r="K205" i="78" s="1"/>
  <c r="K211" i="78" s="1"/>
  <c r="J204" i="78"/>
  <c r="J205" i="78" s="1"/>
  <c r="J211" i="78" s="1"/>
  <c r="I204" i="78"/>
  <c r="I205" i="78" s="1"/>
  <c r="I211" i="78" s="1"/>
  <c r="H204" i="78"/>
  <c r="H205" i="78" s="1"/>
  <c r="G204" i="78"/>
  <c r="G205" i="78" s="1"/>
  <c r="F204" i="78"/>
  <c r="F205" i="78" s="1"/>
  <c r="E204" i="78"/>
  <c r="E205" i="78" s="1"/>
  <c r="D204" i="78"/>
  <c r="P203" i="78"/>
  <c r="O203" i="78"/>
  <c r="P202" i="78"/>
  <c r="O202" i="78"/>
  <c r="N199" i="78"/>
  <c r="M199" i="78"/>
  <c r="L199" i="78"/>
  <c r="K199" i="78"/>
  <c r="K200" i="78" s="1"/>
  <c r="J199" i="78"/>
  <c r="I199" i="78"/>
  <c r="H199" i="78"/>
  <c r="G199" i="78"/>
  <c r="F199" i="78"/>
  <c r="E199" i="78"/>
  <c r="D199" i="78"/>
  <c r="P198" i="78"/>
  <c r="O198" i="78"/>
  <c r="P197" i="78"/>
  <c r="O197" i="78"/>
  <c r="N196" i="78"/>
  <c r="N200" i="78" s="1"/>
  <c r="M196" i="78"/>
  <c r="L196" i="78"/>
  <c r="K196" i="78"/>
  <c r="J196" i="78"/>
  <c r="J200" i="78" s="1"/>
  <c r="I196" i="78"/>
  <c r="H196" i="78"/>
  <c r="G196" i="78"/>
  <c r="F196" i="78"/>
  <c r="F200" i="78" s="1"/>
  <c r="E196" i="78"/>
  <c r="D196" i="78"/>
  <c r="P195" i="78"/>
  <c r="O195" i="78"/>
  <c r="P194" i="78"/>
  <c r="O194" i="78"/>
  <c r="P193" i="78"/>
  <c r="O193" i="78"/>
  <c r="P192" i="78"/>
  <c r="O192" i="78"/>
  <c r="P191" i="78"/>
  <c r="O191" i="78"/>
  <c r="N188" i="78"/>
  <c r="M188" i="78"/>
  <c r="L188" i="78"/>
  <c r="K188" i="78"/>
  <c r="J188" i="78"/>
  <c r="I188" i="78"/>
  <c r="H188" i="78"/>
  <c r="G188" i="78"/>
  <c r="F188" i="78"/>
  <c r="E188" i="78"/>
  <c r="D188" i="78"/>
  <c r="P187" i="78"/>
  <c r="O187" i="78"/>
  <c r="P186" i="78"/>
  <c r="O186" i="78"/>
  <c r="N185" i="78"/>
  <c r="M185" i="78"/>
  <c r="L185" i="78"/>
  <c r="K185" i="78"/>
  <c r="J185" i="78"/>
  <c r="I185" i="78"/>
  <c r="H185" i="78"/>
  <c r="G185" i="78"/>
  <c r="F185" i="78"/>
  <c r="E185" i="78"/>
  <c r="D185" i="78"/>
  <c r="P184" i="78"/>
  <c r="O184" i="78"/>
  <c r="N181" i="78"/>
  <c r="M181" i="78"/>
  <c r="L181" i="78"/>
  <c r="K181" i="78"/>
  <c r="J181" i="78"/>
  <c r="I181" i="78"/>
  <c r="H181" i="78"/>
  <c r="G181" i="78"/>
  <c r="F181" i="78"/>
  <c r="E181" i="78"/>
  <c r="D181" i="78"/>
  <c r="P180" i="78"/>
  <c r="O180" i="78"/>
  <c r="P179" i="78"/>
  <c r="O179" i="78"/>
  <c r="N178" i="78"/>
  <c r="M178" i="78"/>
  <c r="L178" i="78"/>
  <c r="K178" i="78"/>
  <c r="J178" i="78"/>
  <c r="I178" i="78"/>
  <c r="H178" i="78"/>
  <c r="G178" i="78"/>
  <c r="F178" i="78"/>
  <c r="E178" i="78"/>
  <c r="D178" i="78"/>
  <c r="P177" i="78"/>
  <c r="O177" i="78"/>
  <c r="P176" i="78"/>
  <c r="O176" i="78"/>
  <c r="P175" i="78"/>
  <c r="O175" i="78"/>
  <c r="N172" i="78"/>
  <c r="M172" i="78"/>
  <c r="L172" i="78"/>
  <c r="K172" i="78"/>
  <c r="J172" i="78"/>
  <c r="I172" i="78"/>
  <c r="H172" i="78"/>
  <c r="G172" i="78"/>
  <c r="F172" i="78"/>
  <c r="E172" i="78"/>
  <c r="D172" i="78"/>
  <c r="P171" i="78"/>
  <c r="O171" i="78"/>
  <c r="P170" i="78"/>
  <c r="O170" i="78"/>
  <c r="N169" i="78"/>
  <c r="M169" i="78"/>
  <c r="L169" i="78"/>
  <c r="K169" i="78"/>
  <c r="J169" i="78"/>
  <c r="I169" i="78"/>
  <c r="H169" i="78"/>
  <c r="G169" i="78"/>
  <c r="F169" i="78"/>
  <c r="E169" i="78"/>
  <c r="D169" i="78"/>
  <c r="P168" i="78"/>
  <c r="O168" i="78"/>
  <c r="P167" i="78"/>
  <c r="O167" i="78"/>
  <c r="P166" i="78"/>
  <c r="O166" i="78"/>
  <c r="N163" i="78"/>
  <c r="N164" i="78" s="1"/>
  <c r="M163" i="78"/>
  <c r="M164" i="78" s="1"/>
  <c r="L163" i="78"/>
  <c r="L164" i="78" s="1"/>
  <c r="K163" i="78"/>
  <c r="K164" i="78" s="1"/>
  <c r="J163" i="78"/>
  <c r="J164" i="78" s="1"/>
  <c r="I163" i="78"/>
  <c r="I164" i="78" s="1"/>
  <c r="H163" i="78"/>
  <c r="H164" i="78" s="1"/>
  <c r="G163" i="78"/>
  <c r="G164" i="78" s="1"/>
  <c r="F163" i="78"/>
  <c r="F164" i="78" s="1"/>
  <c r="E163" i="78"/>
  <c r="E164" i="78" s="1"/>
  <c r="D163" i="78"/>
  <c r="D164" i="78" s="1"/>
  <c r="P162" i="78"/>
  <c r="O162" i="78"/>
  <c r="P161" i="78"/>
  <c r="O161" i="78"/>
  <c r="N160" i="78"/>
  <c r="M160" i="78"/>
  <c r="L160" i="78"/>
  <c r="K160" i="78"/>
  <c r="J160" i="78"/>
  <c r="I160" i="78"/>
  <c r="H160" i="78"/>
  <c r="G160" i="78"/>
  <c r="F160" i="78"/>
  <c r="E160" i="78"/>
  <c r="D160" i="78"/>
  <c r="P159" i="78"/>
  <c r="O159" i="78"/>
  <c r="P158" i="78"/>
  <c r="O158" i="78"/>
  <c r="P157" i="78"/>
  <c r="O157" i="78"/>
  <c r="P156" i="78"/>
  <c r="O156" i="78"/>
  <c r="N153" i="78"/>
  <c r="M153" i="78"/>
  <c r="L153" i="78"/>
  <c r="K153" i="78"/>
  <c r="J153" i="78"/>
  <c r="I153" i="78"/>
  <c r="H153" i="78"/>
  <c r="G153" i="78"/>
  <c r="F153" i="78"/>
  <c r="E153" i="78"/>
  <c r="D153" i="78"/>
  <c r="P152" i="78"/>
  <c r="O152" i="78"/>
  <c r="P151" i="78"/>
  <c r="O151" i="78"/>
  <c r="N150" i="78"/>
  <c r="M150" i="78"/>
  <c r="L150" i="78"/>
  <c r="K150" i="78"/>
  <c r="J150" i="78"/>
  <c r="I150" i="78"/>
  <c r="H150" i="78"/>
  <c r="G150" i="78"/>
  <c r="F150" i="78"/>
  <c r="E150" i="78"/>
  <c r="D150" i="78"/>
  <c r="P149" i="78"/>
  <c r="O149" i="78"/>
  <c r="P148" i="78"/>
  <c r="O148" i="78"/>
  <c r="P147" i="78"/>
  <c r="O147" i="78"/>
  <c r="P146" i="78"/>
  <c r="O146" i="78"/>
  <c r="N143" i="78"/>
  <c r="M143" i="78"/>
  <c r="L143" i="78"/>
  <c r="K143" i="78"/>
  <c r="J143" i="78"/>
  <c r="I143" i="78"/>
  <c r="H143" i="78"/>
  <c r="G143" i="78"/>
  <c r="F143" i="78"/>
  <c r="E143" i="78"/>
  <c r="D143" i="78"/>
  <c r="P142" i="78"/>
  <c r="O142" i="78"/>
  <c r="P141" i="78"/>
  <c r="O141" i="78"/>
  <c r="N140" i="78"/>
  <c r="M140" i="78"/>
  <c r="L140" i="78"/>
  <c r="K140" i="78"/>
  <c r="J140" i="78"/>
  <c r="I140" i="78"/>
  <c r="H140" i="78"/>
  <c r="G140" i="78"/>
  <c r="F140" i="78"/>
  <c r="E140" i="78"/>
  <c r="D140" i="78"/>
  <c r="P139" i="78"/>
  <c r="O139" i="78"/>
  <c r="P138" i="78"/>
  <c r="O138" i="78"/>
  <c r="P137" i="78"/>
  <c r="O137" i="78"/>
  <c r="P136" i="78"/>
  <c r="O136" i="78"/>
  <c r="N133" i="78"/>
  <c r="M133" i="78"/>
  <c r="L133" i="78"/>
  <c r="K133" i="78"/>
  <c r="J133" i="78"/>
  <c r="I133" i="78"/>
  <c r="H133" i="78"/>
  <c r="G133" i="78"/>
  <c r="F133" i="78"/>
  <c r="E133" i="78"/>
  <c r="D133" i="78"/>
  <c r="P132" i="78"/>
  <c r="O132" i="78"/>
  <c r="P131" i="78"/>
  <c r="O131" i="78"/>
  <c r="N130" i="78"/>
  <c r="M130" i="78"/>
  <c r="L130" i="78"/>
  <c r="K130" i="78"/>
  <c r="J130" i="78"/>
  <c r="I130" i="78"/>
  <c r="H130" i="78"/>
  <c r="G130" i="78"/>
  <c r="F130" i="78"/>
  <c r="E130" i="78"/>
  <c r="D130" i="78"/>
  <c r="P129" i="78"/>
  <c r="O129" i="78"/>
  <c r="P128" i="78"/>
  <c r="O128" i="78"/>
  <c r="P127" i="78"/>
  <c r="O127" i="78"/>
  <c r="N124" i="78"/>
  <c r="M124" i="78"/>
  <c r="L124" i="78"/>
  <c r="K124" i="78"/>
  <c r="J124" i="78"/>
  <c r="I124" i="78"/>
  <c r="H124" i="78"/>
  <c r="G124" i="78"/>
  <c r="F124" i="78"/>
  <c r="E124" i="78"/>
  <c r="D124" i="78"/>
  <c r="P123" i="78"/>
  <c r="O123" i="78"/>
  <c r="P122" i="78"/>
  <c r="O122" i="78"/>
  <c r="N121" i="78"/>
  <c r="M121" i="78"/>
  <c r="L121" i="78"/>
  <c r="K121" i="78"/>
  <c r="J121" i="78"/>
  <c r="I121" i="78"/>
  <c r="H121" i="78"/>
  <c r="G121" i="78"/>
  <c r="F121" i="78"/>
  <c r="E121" i="78"/>
  <c r="D121" i="78"/>
  <c r="P120" i="78"/>
  <c r="O120" i="78"/>
  <c r="P119" i="78"/>
  <c r="O119" i="78"/>
  <c r="P118" i="78"/>
  <c r="O118" i="78"/>
  <c r="P117" i="78"/>
  <c r="O117" i="78"/>
  <c r="N114" i="78"/>
  <c r="M114" i="78"/>
  <c r="L114" i="78"/>
  <c r="K114" i="78"/>
  <c r="J114" i="78"/>
  <c r="I114" i="78"/>
  <c r="H114" i="78"/>
  <c r="G114" i="78"/>
  <c r="F114" i="78"/>
  <c r="E114" i="78"/>
  <c r="D114" i="78"/>
  <c r="P113" i="78"/>
  <c r="O113" i="78"/>
  <c r="P112" i="78"/>
  <c r="O112" i="78"/>
  <c r="N111" i="78"/>
  <c r="M111" i="78"/>
  <c r="L111" i="78"/>
  <c r="K111" i="78"/>
  <c r="J111" i="78"/>
  <c r="I111" i="78"/>
  <c r="H111" i="78"/>
  <c r="G111" i="78"/>
  <c r="F111" i="78"/>
  <c r="E111" i="78"/>
  <c r="D111" i="78"/>
  <c r="P110" i="78"/>
  <c r="O110" i="78"/>
  <c r="P109" i="78"/>
  <c r="O109" i="78"/>
  <c r="P108" i="78"/>
  <c r="O108" i="78"/>
  <c r="P107" i="78"/>
  <c r="O107" i="78"/>
  <c r="N104" i="78"/>
  <c r="M104" i="78"/>
  <c r="L104" i="78"/>
  <c r="K104" i="78"/>
  <c r="J104" i="78"/>
  <c r="I104" i="78"/>
  <c r="H104" i="78"/>
  <c r="G104" i="78"/>
  <c r="F104" i="78"/>
  <c r="E104" i="78"/>
  <c r="D104" i="78"/>
  <c r="P103" i="78"/>
  <c r="O103" i="78"/>
  <c r="P102" i="78"/>
  <c r="O102" i="78"/>
  <c r="N101" i="78"/>
  <c r="M101" i="78"/>
  <c r="L101" i="78"/>
  <c r="K101" i="78"/>
  <c r="J101" i="78"/>
  <c r="I101" i="78"/>
  <c r="H101" i="78"/>
  <c r="G101" i="78"/>
  <c r="F101" i="78"/>
  <c r="E101" i="78"/>
  <c r="D101" i="78"/>
  <c r="P100" i="78"/>
  <c r="O100" i="78"/>
  <c r="P99" i="78"/>
  <c r="O99" i="78"/>
  <c r="P98" i="78"/>
  <c r="O98" i="78"/>
  <c r="P97" i="78"/>
  <c r="O97" i="78"/>
  <c r="N94" i="78"/>
  <c r="M94" i="78"/>
  <c r="L94" i="78"/>
  <c r="K94" i="78"/>
  <c r="J94" i="78"/>
  <c r="I94" i="78"/>
  <c r="H94" i="78"/>
  <c r="G94" i="78"/>
  <c r="F94" i="78"/>
  <c r="E94" i="78"/>
  <c r="D94" i="78"/>
  <c r="P93" i="78"/>
  <c r="O93" i="78"/>
  <c r="P92" i="78"/>
  <c r="O92" i="78"/>
  <c r="N91" i="78"/>
  <c r="M91" i="78"/>
  <c r="L91" i="78"/>
  <c r="K91" i="78"/>
  <c r="J91" i="78"/>
  <c r="I91" i="78"/>
  <c r="H91" i="78"/>
  <c r="G91" i="78"/>
  <c r="F91" i="78"/>
  <c r="E91" i="78"/>
  <c r="D91" i="78"/>
  <c r="P90" i="78"/>
  <c r="O90" i="78"/>
  <c r="P89" i="78"/>
  <c r="O89" i="78"/>
  <c r="P88" i="78"/>
  <c r="O88" i="78"/>
  <c r="P87" i="78"/>
  <c r="O87" i="78"/>
  <c r="N84" i="78"/>
  <c r="M84" i="78"/>
  <c r="L84" i="78"/>
  <c r="K84" i="78"/>
  <c r="J84" i="78"/>
  <c r="I84" i="78"/>
  <c r="H84" i="78"/>
  <c r="G84" i="78"/>
  <c r="F84" i="78"/>
  <c r="E84" i="78"/>
  <c r="D84" i="78"/>
  <c r="P83" i="78"/>
  <c r="O83" i="78"/>
  <c r="P82" i="78"/>
  <c r="O82" i="78"/>
  <c r="N81" i="78"/>
  <c r="M81" i="78"/>
  <c r="L81" i="78"/>
  <c r="K81" i="78"/>
  <c r="J81" i="78"/>
  <c r="I81" i="78"/>
  <c r="H81" i="78"/>
  <c r="G81" i="78"/>
  <c r="F81" i="78"/>
  <c r="E81" i="78"/>
  <c r="D81" i="78"/>
  <c r="P80" i="78"/>
  <c r="O80" i="78"/>
  <c r="P79" i="78"/>
  <c r="O79" i="78"/>
  <c r="P78" i="78"/>
  <c r="O78" i="78"/>
  <c r="P77" i="78"/>
  <c r="O77" i="78"/>
  <c r="N74" i="78"/>
  <c r="N237" i="78" s="1"/>
  <c r="M74" i="78"/>
  <c r="M237" i="78" s="1"/>
  <c r="L74" i="78"/>
  <c r="L237" i="78" s="1"/>
  <c r="K74" i="78"/>
  <c r="J74" i="78"/>
  <c r="J237" i="78" s="1"/>
  <c r="I74" i="78"/>
  <c r="I237" i="78" s="1"/>
  <c r="H74" i="78"/>
  <c r="H237" i="78" s="1"/>
  <c r="G74" i="78"/>
  <c r="F74" i="78"/>
  <c r="F237" i="78" s="1"/>
  <c r="E74" i="78"/>
  <c r="E237" i="78" s="1"/>
  <c r="D74" i="78"/>
  <c r="D237" i="78" s="1"/>
  <c r="P73" i="78"/>
  <c r="O73" i="78"/>
  <c r="P72" i="78"/>
  <c r="O72" i="78"/>
  <c r="N71" i="78"/>
  <c r="M71" i="78"/>
  <c r="L71" i="78"/>
  <c r="K71" i="78"/>
  <c r="J71" i="78"/>
  <c r="I71" i="78"/>
  <c r="H71" i="78"/>
  <c r="G71" i="78"/>
  <c r="F71" i="78"/>
  <c r="E71" i="78"/>
  <c r="D71" i="78"/>
  <c r="P70" i="78"/>
  <c r="O70" i="78"/>
  <c r="N67" i="78"/>
  <c r="M67" i="78"/>
  <c r="L67" i="78"/>
  <c r="K67" i="78"/>
  <c r="J67" i="78"/>
  <c r="I67" i="78"/>
  <c r="H67" i="78"/>
  <c r="G67" i="78"/>
  <c r="F67" i="78"/>
  <c r="E67" i="78"/>
  <c r="D67" i="78"/>
  <c r="P66" i="78"/>
  <c r="O66" i="78"/>
  <c r="P65" i="78"/>
  <c r="O65" i="78"/>
  <c r="N64" i="78"/>
  <c r="M64" i="78"/>
  <c r="L64" i="78"/>
  <c r="K64" i="78"/>
  <c r="J64" i="78"/>
  <c r="I64" i="78"/>
  <c r="H64" i="78"/>
  <c r="G64" i="78"/>
  <c r="F64" i="78"/>
  <c r="E64" i="78"/>
  <c r="D64" i="78"/>
  <c r="P63" i="78"/>
  <c r="O63" i="78"/>
  <c r="P62" i="78"/>
  <c r="O62" i="78"/>
  <c r="P61" i="78"/>
  <c r="O61" i="78"/>
  <c r="N58" i="78"/>
  <c r="M58" i="78"/>
  <c r="L58" i="78"/>
  <c r="K58" i="78"/>
  <c r="J58" i="78"/>
  <c r="I58" i="78"/>
  <c r="H58" i="78"/>
  <c r="G58" i="78"/>
  <c r="F58" i="78"/>
  <c r="E58" i="78"/>
  <c r="D58" i="78"/>
  <c r="P57" i="78"/>
  <c r="O57" i="78"/>
  <c r="P56" i="78"/>
  <c r="O56" i="78"/>
  <c r="N55" i="78"/>
  <c r="M55" i="78"/>
  <c r="L55" i="78"/>
  <c r="K55" i="78"/>
  <c r="J55" i="78"/>
  <c r="I55" i="78"/>
  <c r="H55" i="78"/>
  <c r="G55" i="78"/>
  <c r="F55" i="78"/>
  <c r="E55" i="78"/>
  <c r="D55" i="78"/>
  <c r="P54" i="78"/>
  <c r="O54" i="78"/>
  <c r="P53" i="78"/>
  <c r="O53" i="78"/>
  <c r="P52" i="78"/>
  <c r="O52" i="78"/>
  <c r="N47" i="78"/>
  <c r="M47" i="78"/>
  <c r="L47" i="78"/>
  <c r="K47" i="78"/>
  <c r="J47" i="78"/>
  <c r="I47" i="78"/>
  <c r="H47" i="78"/>
  <c r="G47" i="78"/>
  <c r="F47" i="78"/>
  <c r="E47" i="78"/>
  <c r="D47" i="78"/>
  <c r="P46" i="78"/>
  <c r="O46" i="78"/>
  <c r="P45" i="78"/>
  <c r="O45" i="78"/>
  <c r="P44" i="78"/>
  <c r="O44" i="78"/>
  <c r="P43" i="78"/>
  <c r="O43" i="78"/>
  <c r="P42" i="78"/>
  <c r="O42" i="78"/>
  <c r="P41" i="78"/>
  <c r="O41" i="78"/>
  <c r="N40" i="78"/>
  <c r="M232" i="78"/>
  <c r="L40" i="78"/>
  <c r="L232" i="78" s="1"/>
  <c r="K40" i="78"/>
  <c r="J40" i="78"/>
  <c r="I40" i="78"/>
  <c r="I232" i="78" s="1"/>
  <c r="H40" i="78"/>
  <c r="H232" i="78" s="1"/>
  <c r="E40" i="78"/>
  <c r="P39" i="78"/>
  <c r="O39" i="78"/>
  <c r="P38" i="78"/>
  <c r="O38" i="78"/>
  <c r="P37" i="78"/>
  <c r="O37" i="78"/>
  <c r="P36" i="78"/>
  <c r="O36" i="78"/>
  <c r="P35" i="78"/>
  <c r="O35" i="78"/>
  <c r="P34" i="78"/>
  <c r="O34" i="78"/>
  <c r="O33" i="78"/>
  <c r="P33" i="78"/>
  <c r="P32" i="78"/>
  <c r="O32" i="78"/>
  <c r="P31" i="78"/>
  <c r="O31" i="78"/>
  <c r="P30" i="78"/>
  <c r="O30" i="78"/>
  <c r="P29" i="78"/>
  <c r="O29" i="78"/>
  <c r="P28" i="78"/>
  <c r="O28" i="78"/>
  <c r="P27" i="78"/>
  <c r="O27" i="78"/>
  <c r="P26" i="78"/>
  <c r="O26" i="78"/>
  <c r="O25" i="78"/>
  <c r="P25" i="78"/>
  <c r="O24" i="78"/>
  <c r="P24" i="78"/>
  <c r="P23" i="78"/>
  <c r="O23" i="78"/>
  <c r="P22" i="78"/>
  <c r="O22" i="78"/>
  <c r="O21" i="78"/>
  <c r="N20" i="78"/>
  <c r="M20" i="78"/>
  <c r="L20" i="78"/>
  <c r="K20" i="78"/>
  <c r="J20" i="78"/>
  <c r="I20" i="78"/>
  <c r="H20" i="78"/>
  <c r="G20" i="78"/>
  <c r="F20" i="78"/>
  <c r="E20" i="78"/>
  <c r="D20" i="78"/>
  <c r="P19" i="78"/>
  <c r="O19" i="78"/>
  <c r="P18" i="78"/>
  <c r="O18" i="78"/>
  <c r="P17" i="78"/>
  <c r="O17" i="78"/>
  <c r="P15" i="78"/>
  <c r="O15" i="78"/>
  <c r="P14" i="78"/>
  <c r="O14" i="78"/>
  <c r="P13" i="78"/>
  <c r="O13" i="78"/>
  <c r="P12" i="78"/>
  <c r="O12" i="78"/>
  <c r="N11" i="78"/>
  <c r="N233" i="78" s="1"/>
  <c r="M11" i="78"/>
  <c r="M233" i="78" s="1"/>
  <c r="L11" i="78"/>
  <c r="L233" i="78" s="1"/>
  <c r="K11" i="78"/>
  <c r="K233" i="78" s="1"/>
  <c r="J11" i="78"/>
  <c r="J233" i="78" s="1"/>
  <c r="I11" i="78"/>
  <c r="I233" i="78" s="1"/>
  <c r="H11" i="78"/>
  <c r="H233" i="78" s="1"/>
  <c r="G11" i="78"/>
  <c r="G233" i="78" s="1"/>
  <c r="F11" i="78"/>
  <c r="F233" i="78" s="1"/>
  <c r="E11" i="78"/>
  <c r="E233" i="78" s="1"/>
  <c r="O10" i="78"/>
  <c r="D10" i="78"/>
  <c r="P10" i="78" s="1"/>
  <c r="O9" i="78"/>
  <c r="P9" i="78"/>
  <c r="O8" i="78"/>
  <c r="D8" i="78"/>
  <c r="P8" i="78" s="1"/>
  <c r="O7" i="78"/>
  <c r="D7" i="78"/>
  <c r="P7" i="78" s="1"/>
  <c r="P6" i="78"/>
  <c r="O6" i="78"/>
  <c r="P5" i="78"/>
  <c r="O5" i="78"/>
  <c r="F234" i="78" l="1"/>
  <c r="I59" i="78"/>
  <c r="M59" i="78"/>
  <c r="I68" i="78"/>
  <c r="M68" i="78"/>
  <c r="G105" i="78"/>
  <c r="K105" i="78"/>
  <c r="I173" i="78"/>
  <c r="M173" i="78"/>
  <c r="I189" i="78"/>
  <c r="M189" i="78"/>
  <c r="G236" i="78"/>
  <c r="K236" i="78"/>
  <c r="P204" i="78"/>
  <c r="M215" i="78"/>
  <c r="H59" i="78"/>
  <c r="L59" i="78"/>
  <c r="F85" i="78"/>
  <c r="J85" i="78"/>
  <c r="N85" i="78"/>
  <c r="D95" i="78"/>
  <c r="I215" i="78"/>
  <c r="E232" i="78"/>
  <c r="O40" i="78"/>
  <c r="O232" i="78" s="1"/>
  <c r="P40" i="78"/>
  <c r="G200" i="78"/>
  <c r="P111" i="78"/>
  <c r="H95" i="78"/>
  <c r="L95" i="78"/>
  <c r="D173" i="78"/>
  <c r="P64" i="78"/>
  <c r="N68" i="78"/>
  <c r="N182" i="78"/>
  <c r="F68" i="78"/>
  <c r="D125" i="78"/>
  <c r="H125" i="78"/>
  <c r="L125" i="78"/>
  <c r="F144" i="78"/>
  <c r="J144" i="78"/>
  <c r="N144" i="78"/>
  <c r="G234" i="78"/>
  <c r="O47" i="78"/>
  <c r="D236" i="78"/>
  <c r="H236" i="78"/>
  <c r="L236" i="78"/>
  <c r="G59" i="78"/>
  <c r="K59" i="78"/>
  <c r="P58" i="78"/>
  <c r="P81" i="78"/>
  <c r="I85" i="78"/>
  <c r="M85" i="78"/>
  <c r="K95" i="78"/>
  <c r="E105" i="78"/>
  <c r="I105" i="78"/>
  <c r="M105" i="78"/>
  <c r="I125" i="78"/>
  <c r="M125" i="78"/>
  <c r="K173" i="78"/>
  <c r="K189" i="78"/>
  <c r="P47" i="78"/>
  <c r="E236" i="78"/>
  <c r="I236" i="78"/>
  <c r="M236" i="78"/>
  <c r="D115" i="78"/>
  <c r="H115" i="78"/>
  <c r="L115" i="78"/>
  <c r="J125" i="78"/>
  <c r="D144" i="78"/>
  <c r="H144" i="78"/>
  <c r="P196" i="78"/>
  <c r="H200" i="78"/>
  <c r="L200" i="78"/>
  <c r="I200" i="78"/>
  <c r="K215" i="78"/>
  <c r="H230" i="78"/>
  <c r="D105" i="78"/>
  <c r="H105" i="78"/>
  <c r="L105" i="78"/>
  <c r="O111" i="78"/>
  <c r="F115" i="78"/>
  <c r="J115" i="78"/>
  <c r="N115" i="78"/>
  <c r="L144" i="78"/>
  <c r="F173" i="78"/>
  <c r="H173" i="78"/>
  <c r="J173" i="78"/>
  <c r="L173" i="78"/>
  <c r="N173" i="78"/>
  <c r="H182" i="78"/>
  <c r="G189" i="78"/>
  <c r="M200" i="78"/>
  <c r="P214" i="78"/>
  <c r="K234" i="78"/>
  <c r="D68" i="78"/>
  <c r="H68" i="78"/>
  <c r="J68" i="78"/>
  <c r="L68" i="78"/>
  <c r="F95" i="78"/>
  <c r="J95" i="78"/>
  <c r="G95" i="78"/>
  <c r="E115" i="78"/>
  <c r="I115" i="78"/>
  <c r="M115" i="78"/>
  <c r="G134" i="78"/>
  <c r="I134" i="78"/>
  <c r="P150" i="78"/>
  <c r="E154" i="78"/>
  <c r="G154" i="78"/>
  <c r="M154" i="78"/>
  <c r="G173" i="78"/>
  <c r="O185" i="78"/>
  <c r="F189" i="78"/>
  <c r="H189" i="78"/>
  <c r="J189" i="78"/>
  <c r="L189" i="78"/>
  <c r="N189" i="78"/>
  <c r="E230" i="78"/>
  <c r="G230" i="78"/>
  <c r="P164" i="78"/>
  <c r="J234" i="78"/>
  <c r="N234" i="78"/>
  <c r="H49" i="78"/>
  <c r="E75" i="78"/>
  <c r="M75" i="78"/>
  <c r="P91" i="78"/>
  <c r="I95" i="78"/>
  <c r="M95" i="78"/>
  <c r="P124" i="78"/>
  <c r="M134" i="78"/>
  <c r="F134" i="78"/>
  <c r="J134" i="78"/>
  <c r="N134" i="78"/>
  <c r="O150" i="78"/>
  <c r="I154" i="78"/>
  <c r="F154" i="78"/>
  <c r="J154" i="78"/>
  <c r="N154" i="78"/>
  <c r="D182" i="78"/>
  <c r="L182" i="78"/>
  <c r="I182" i="78"/>
  <c r="M182" i="78"/>
  <c r="O196" i="78"/>
  <c r="D205" i="78"/>
  <c r="P205" i="78" s="1"/>
  <c r="D215" i="78"/>
  <c r="H215" i="78"/>
  <c r="G215" i="78"/>
  <c r="P229" i="78"/>
  <c r="J75" i="78"/>
  <c r="K115" i="78"/>
  <c r="O124" i="78"/>
  <c r="K230" i="78"/>
  <c r="F59" i="78"/>
  <c r="J59" i="78"/>
  <c r="N59" i="78"/>
  <c r="P67" i="78"/>
  <c r="P68" i="78" s="1"/>
  <c r="D75" i="78"/>
  <c r="H75" i="78"/>
  <c r="L75" i="78"/>
  <c r="I75" i="78"/>
  <c r="N95" i="78"/>
  <c r="O101" i="78"/>
  <c r="F238" i="78"/>
  <c r="F125" i="78"/>
  <c r="N125" i="78"/>
  <c r="K134" i="78"/>
  <c r="D134" i="78"/>
  <c r="H134" i="78"/>
  <c r="L134" i="78"/>
  <c r="K154" i="78"/>
  <c r="H154" i="78"/>
  <c r="L154" i="78"/>
  <c r="P160" i="78"/>
  <c r="O172" i="78"/>
  <c r="F182" i="78"/>
  <c r="J182" i="78"/>
  <c r="G182" i="78"/>
  <c r="K182" i="78"/>
  <c r="O188" i="78"/>
  <c r="F215" i="78"/>
  <c r="O219" i="78"/>
  <c r="O220" i="78" s="1"/>
  <c r="L49" i="78"/>
  <c r="G68" i="78"/>
  <c r="K68" i="78"/>
  <c r="O71" i="78"/>
  <c r="F75" i="78"/>
  <c r="N75" i="78"/>
  <c r="G85" i="78"/>
  <c r="K85" i="78"/>
  <c r="O178" i="78"/>
  <c r="M230" i="78"/>
  <c r="O84" i="78"/>
  <c r="F105" i="78"/>
  <c r="J105" i="78"/>
  <c r="N105" i="78"/>
  <c r="G238" i="78"/>
  <c r="G115" i="78"/>
  <c r="O114" i="78"/>
  <c r="E125" i="78"/>
  <c r="O121" i="78"/>
  <c r="D154" i="78"/>
  <c r="P153" i="78"/>
  <c r="O226" i="78"/>
  <c r="G232" i="78"/>
  <c r="G49" i="78"/>
  <c r="P21" i="78"/>
  <c r="E49" i="78"/>
  <c r="M49" i="78"/>
  <c r="P55" i="78"/>
  <c r="O58" i="78"/>
  <c r="D85" i="78"/>
  <c r="H85" i="78"/>
  <c r="L85" i="78"/>
  <c r="P84" i="78"/>
  <c r="O91" i="78"/>
  <c r="O133" i="78"/>
  <c r="P140" i="78"/>
  <c r="G239" i="78"/>
  <c r="G144" i="78"/>
  <c r="K239" i="78"/>
  <c r="K144" i="78"/>
  <c r="O143" i="78"/>
  <c r="O153" i="78"/>
  <c r="E173" i="78"/>
  <c r="O169" i="78"/>
  <c r="O173" i="78" s="1"/>
  <c r="E189" i="78"/>
  <c r="D200" i="78"/>
  <c r="K232" i="78"/>
  <c r="K49" i="78"/>
  <c r="O94" i="78"/>
  <c r="E95" i="78"/>
  <c r="E59" i="78"/>
  <c r="O55" i="78"/>
  <c r="E68" i="78"/>
  <c r="O64" i="78"/>
  <c r="P71" i="78"/>
  <c r="G237" i="78"/>
  <c r="G75" i="78"/>
  <c r="K237" i="78"/>
  <c r="K75" i="78"/>
  <c r="O74" i="78"/>
  <c r="E85" i="78"/>
  <c r="O81" i="78"/>
  <c r="P94" i="78"/>
  <c r="P101" i="78"/>
  <c r="P104" i="78"/>
  <c r="P121" i="78"/>
  <c r="E134" i="78"/>
  <c r="O130" i="78"/>
  <c r="D239" i="78"/>
  <c r="H239" i="78"/>
  <c r="L239" i="78"/>
  <c r="O163" i="78"/>
  <c r="O164" i="78" s="1"/>
  <c r="D189" i="78"/>
  <c r="P188" i="78"/>
  <c r="P199" i="78"/>
  <c r="L215" i="78"/>
  <c r="K238" i="78"/>
  <c r="D59" i="78"/>
  <c r="O67" i="78"/>
  <c r="O11" i="78"/>
  <c r="O233" i="78" s="1"/>
  <c r="D234" i="78"/>
  <c r="P20" i="78"/>
  <c r="D11" i="78"/>
  <c r="E234" i="78"/>
  <c r="O20" i="78"/>
  <c r="I234" i="78"/>
  <c r="M234" i="78"/>
  <c r="F232" i="78"/>
  <c r="F49" i="78"/>
  <c r="J232" i="78"/>
  <c r="J49" i="78"/>
  <c r="N232" i="78"/>
  <c r="N49" i="78"/>
  <c r="F236" i="78"/>
  <c r="J236" i="78"/>
  <c r="N236" i="78"/>
  <c r="I49" i="78"/>
  <c r="O104" i="78"/>
  <c r="J238" i="78"/>
  <c r="N238" i="78"/>
  <c r="E182" i="78"/>
  <c r="O181" i="78"/>
  <c r="P185" i="78"/>
  <c r="E200" i="78"/>
  <c r="O199" i="78"/>
  <c r="P220" i="78"/>
  <c r="D230" i="78"/>
  <c r="P226" i="78"/>
  <c r="N239" i="78"/>
  <c r="I230" i="78"/>
  <c r="P74" i="78"/>
  <c r="P237" i="78" s="1"/>
  <c r="D238" i="78"/>
  <c r="H238" i="78"/>
  <c r="L238" i="78"/>
  <c r="P114" i="78"/>
  <c r="P133" i="78"/>
  <c r="O140" i="78"/>
  <c r="E239" i="78"/>
  <c r="E144" i="78"/>
  <c r="I239" i="78"/>
  <c r="I144" i="78"/>
  <c r="M239" i="78"/>
  <c r="M144" i="78"/>
  <c r="P163" i="78"/>
  <c r="P169" i="78"/>
  <c r="P172" i="78"/>
  <c r="P178" i="78"/>
  <c r="P211" i="78"/>
  <c r="O214" i="78"/>
  <c r="O215" i="78" s="1"/>
  <c r="F239" i="78"/>
  <c r="H234" i="78"/>
  <c r="L234" i="78"/>
  <c r="E238" i="78"/>
  <c r="I238" i="78"/>
  <c r="M238" i="78"/>
  <c r="G125" i="78"/>
  <c r="K125" i="78"/>
  <c r="P130" i="78"/>
  <c r="O160" i="78"/>
  <c r="P181" i="78"/>
  <c r="O204" i="78"/>
  <c r="O205" i="78" s="1"/>
  <c r="E215" i="78"/>
  <c r="O211" i="78"/>
  <c r="J215" i="78"/>
  <c r="N215" i="78"/>
  <c r="O229" i="78"/>
  <c r="O230" i="78" s="1"/>
  <c r="J239" i="78"/>
  <c r="P143" i="78"/>
  <c r="P219" i="78"/>
  <c r="O154" i="78" l="1"/>
  <c r="O189" i="78"/>
  <c r="P59" i="78"/>
  <c r="L235" i="78"/>
  <c r="K235" i="78"/>
  <c r="K241" i="78" s="1"/>
  <c r="H235" i="78"/>
  <c r="P236" i="78"/>
  <c r="O182" i="78"/>
  <c r="P134" i="78"/>
  <c r="O105" i="78"/>
  <c r="O95" i="78"/>
  <c r="O200" i="78"/>
  <c r="P189" i="78"/>
  <c r="O125" i="78"/>
  <c r="G235" i="78"/>
  <c r="G241" i="78" s="1"/>
  <c r="P173" i="78"/>
  <c r="M235" i="78"/>
  <c r="M241" i="78" s="1"/>
  <c r="O59" i="78"/>
  <c r="P105" i="78"/>
  <c r="D235" i="78"/>
  <c r="E235" i="78"/>
  <c r="E241" i="78" s="1"/>
  <c r="P182" i="78"/>
  <c r="O49" i="78"/>
  <c r="P95" i="78"/>
  <c r="P154" i="78"/>
  <c r="P115" i="78"/>
  <c r="P215" i="78"/>
  <c r="H241" i="78"/>
  <c r="P144" i="78"/>
  <c r="L241" i="78"/>
  <c r="I235" i="78"/>
  <c r="I241" i="78" s="1"/>
  <c r="P75" i="78"/>
  <c r="P230" i="78"/>
  <c r="J235" i="78"/>
  <c r="J241" i="78" s="1"/>
  <c r="D233" i="78"/>
  <c r="P11" i="78"/>
  <c r="P233" i="78" s="1"/>
  <c r="P200" i="78"/>
  <c r="P85" i="78"/>
  <c r="P125" i="78"/>
  <c r="O85" i="78"/>
  <c r="P239" i="78"/>
  <c r="F235" i="78"/>
  <c r="F241" i="78" s="1"/>
  <c r="O239" i="78"/>
  <c r="O144" i="78"/>
  <c r="O236" i="78"/>
  <c r="O115" i="78"/>
  <c r="O238" i="78"/>
  <c r="O234" i="78"/>
  <c r="O68" i="78"/>
  <c r="P238" i="78"/>
  <c r="N235" i="78"/>
  <c r="N241" i="78" s="1"/>
  <c r="P234" i="78"/>
  <c r="O237" i="78"/>
  <c r="O75" i="78"/>
  <c r="O134" i="78"/>
  <c r="P232" i="78"/>
  <c r="D49" i="78"/>
  <c r="P49" i="78" s="1"/>
  <c r="P235" i="78" l="1"/>
  <c r="P241" i="78" s="1"/>
  <c r="D241" i="78"/>
  <c r="O235" i="78"/>
  <c r="O241" i="78" s="1"/>
  <c r="E11" i="59" l="1"/>
  <c r="N25" i="59"/>
  <c r="O28" i="59"/>
  <c r="O29" i="59"/>
  <c r="O30" i="59"/>
  <c r="O31" i="59"/>
  <c r="O32" i="59"/>
  <c r="O33" i="59"/>
  <c r="O34" i="59"/>
  <c r="O35" i="59"/>
  <c r="O36" i="59"/>
  <c r="O37" i="59"/>
  <c r="O38" i="59"/>
  <c r="O39" i="59"/>
  <c r="O40" i="59"/>
  <c r="O25" i="59"/>
  <c r="O47" i="59"/>
  <c r="N45" i="59"/>
  <c r="N46" i="59"/>
  <c r="N47" i="59"/>
  <c r="O45" i="59"/>
  <c r="O46" i="59"/>
  <c r="D197" i="5" l="1"/>
  <c r="F22" i="13"/>
  <c r="E37" i="13" l="1"/>
  <c r="D269" i="5"/>
  <c r="C29" i="63" l="1"/>
  <c r="C32" i="63" s="1"/>
  <c r="D29" i="63"/>
  <c r="D32" i="63" s="1"/>
  <c r="B29" i="63"/>
  <c r="B32" i="63" s="1"/>
  <c r="C28" i="24"/>
  <c r="D28" i="24"/>
  <c r="B28" i="24"/>
  <c r="D49" i="13" l="1"/>
  <c r="C49" i="13"/>
  <c r="B46" i="13"/>
  <c r="D46" i="13"/>
  <c r="C46" i="13"/>
  <c r="E44" i="13"/>
  <c r="E45" i="13"/>
  <c r="D42" i="13"/>
  <c r="B42" i="13"/>
  <c r="E34" i="13"/>
  <c r="E35" i="13"/>
  <c r="E36" i="13"/>
  <c r="E38" i="13"/>
  <c r="E20" i="59" l="1"/>
  <c r="N16" i="59"/>
  <c r="C32" i="67" l="1"/>
  <c r="C33" i="67" s="1"/>
  <c r="D32" i="67"/>
  <c r="D33" i="67" s="1"/>
  <c r="B32" i="67"/>
  <c r="B33" i="67" s="1"/>
  <c r="D10" i="77"/>
  <c r="C10" i="77"/>
  <c r="B10" i="77"/>
  <c r="D10" i="67" l="1"/>
  <c r="O16" i="59" l="1"/>
  <c r="B22" i="67" l="1"/>
  <c r="C22" i="67"/>
  <c r="B23" i="67"/>
  <c r="C23" i="67"/>
  <c r="B25" i="67"/>
  <c r="C25" i="67"/>
  <c r="B27" i="67"/>
  <c r="B10" i="67"/>
  <c r="D9" i="67"/>
  <c r="C9" i="67"/>
  <c r="C10" i="67"/>
  <c r="C11" i="65"/>
  <c r="D30" i="67"/>
  <c r="D26" i="67" l="1"/>
  <c r="D27" i="67"/>
  <c r="D25" i="67"/>
  <c r="B18" i="67"/>
  <c r="C18" i="67"/>
  <c r="D18" i="67"/>
  <c r="D28" i="67"/>
  <c r="D8" i="67"/>
  <c r="D11" i="67"/>
  <c r="D12" i="67"/>
  <c r="D13" i="67"/>
  <c r="D15" i="67"/>
  <c r="D16" i="67"/>
  <c r="D17" i="67"/>
  <c r="D19" i="67"/>
  <c r="D20" i="67"/>
  <c r="D21" i="67"/>
  <c r="D22" i="67"/>
  <c r="D23" i="67"/>
  <c r="C7" i="67"/>
  <c r="D7" i="67"/>
  <c r="O43" i="59"/>
  <c r="O44" i="59"/>
  <c r="N43" i="59"/>
  <c r="N44" i="59"/>
  <c r="O22" i="59"/>
  <c r="O23" i="59"/>
  <c r="O24" i="59"/>
  <c r="O26" i="59"/>
  <c r="O27" i="59"/>
  <c r="N22" i="59"/>
  <c r="N23" i="59"/>
  <c r="N24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N38" i="59"/>
  <c r="N39" i="59"/>
  <c r="N40" i="59"/>
  <c r="O13" i="59"/>
  <c r="O14" i="59"/>
  <c r="O15" i="59"/>
  <c r="O17" i="59"/>
  <c r="O18" i="59"/>
  <c r="O19" i="59"/>
  <c r="N18" i="59"/>
  <c r="N19" i="59"/>
  <c r="N8" i="59"/>
  <c r="N9" i="59"/>
  <c r="N10" i="59"/>
  <c r="D41" i="59"/>
  <c r="I20" i="59"/>
  <c r="I11" i="59"/>
  <c r="D11" i="59"/>
  <c r="E43" i="13"/>
  <c r="C42" i="13"/>
  <c r="D39" i="13"/>
  <c r="E40" i="13"/>
  <c r="B49" i="13"/>
  <c r="E48" i="13"/>
  <c r="E41" i="13"/>
  <c r="C39" i="13"/>
  <c r="B39" i="13"/>
  <c r="E39" i="13" l="1"/>
  <c r="D50" i="13"/>
  <c r="C50" i="13"/>
  <c r="E49" i="13"/>
  <c r="B48" i="62" l="1"/>
  <c r="B38" i="62"/>
  <c r="B27" i="62"/>
  <c r="B23" i="62"/>
  <c r="B18" i="62"/>
  <c r="B10" i="62"/>
  <c r="D201" i="5"/>
  <c r="C197" i="5"/>
  <c r="C201" i="5" s="1"/>
  <c r="C167" i="5"/>
  <c r="C88" i="5"/>
  <c r="D186" i="5"/>
  <c r="C269" i="5"/>
  <c r="D263" i="5"/>
  <c r="C263" i="5"/>
  <c r="D241" i="5"/>
  <c r="C241" i="5"/>
  <c r="D238" i="5"/>
  <c r="C238" i="5"/>
  <c r="D233" i="5"/>
  <c r="C233" i="5"/>
  <c r="D214" i="5"/>
  <c r="C214" i="5"/>
  <c r="D211" i="5"/>
  <c r="C211" i="5"/>
  <c r="D206" i="5"/>
  <c r="C206" i="5"/>
  <c r="C186" i="5"/>
  <c r="D181" i="5"/>
  <c r="D176" i="5"/>
  <c r="C176" i="5"/>
  <c r="C181" i="5"/>
  <c r="D173" i="5"/>
  <c r="C173" i="5"/>
  <c r="D167" i="5"/>
  <c r="D146" i="5"/>
  <c r="C146" i="5"/>
  <c r="D142" i="5"/>
  <c r="C142" i="5"/>
  <c r="D138" i="5"/>
  <c r="C138" i="5"/>
  <c r="D132" i="5"/>
  <c r="C132" i="5"/>
  <c r="D122" i="5"/>
  <c r="C122" i="5"/>
  <c r="D113" i="5"/>
  <c r="C113" i="5"/>
  <c r="D111" i="5"/>
  <c r="C111" i="5"/>
  <c r="D115" i="5"/>
  <c r="C115" i="5"/>
  <c r="D102" i="5"/>
  <c r="C102" i="5"/>
  <c r="D98" i="5"/>
  <c r="C98" i="5"/>
  <c r="D94" i="5"/>
  <c r="C94" i="5"/>
  <c r="D71" i="5"/>
  <c r="D110" i="5" s="1"/>
  <c r="C71" i="5"/>
  <c r="D55" i="5"/>
  <c r="D59" i="5"/>
  <c r="D62" i="5"/>
  <c r="D65" i="5"/>
  <c r="C65" i="5"/>
  <c r="C62" i="5"/>
  <c r="C59" i="5"/>
  <c r="C55" i="5"/>
  <c r="D49" i="5"/>
  <c r="C49" i="5"/>
  <c r="D41" i="5"/>
  <c r="C41" i="5"/>
  <c r="D28" i="5"/>
  <c r="D34" i="5"/>
  <c r="C34" i="5"/>
  <c r="C28" i="5"/>
  <c r="D17" i="5"/>
  <c r="C17" i="5"/>
  <c r="D11" i="5"/>
  <c r="C11" i="5"/>
  <c r="D48" i="62"/>
  <c r="C48" i="62"/>
  <c r="D38" i="62"/>
  <c r="C38" i="62"/>
  <c r="D27" i="62"/>
  <c r="C27" i="62"/>
  <c r="D23" i="62"/>
  <c r="C23" i="62"/>
  <c r="D18" i="62"/>
  <c r="C18" i="62"/>
  <c r="D10" i="62"/>
  <c r="C10" i="62"/>
  <c r="I30" i="70"/>
  <c r="H29" i="70"/>
  <c r="G29" i="70"/>
  <c r="E29" i="70"/>
  <c r="D29" i="70"/>
  <c r="C29" i="70"/>
  <c r="I28" i="70"/>
  <c r="I29" i="70" s="1"/>
  <c r="H27" i="70"/>
  <c r="G27" i="70"/>
  <c r="F27" i="70"/>
  <c r="E27" i="70"/>
  <c r="D27" i="70"/>
  <c r="C27" i="70"/>
  <c r="I26" i="70"/>
  <c r="I25" i="70"/>
  <c r="I24" i="70"/>
  <c r="I23" i="70"/>
  <c r="I22" i="70"/>
  <c r="I21" i="70"/>
  <c r="I20" i="70"/>
  <c r="I19" i="70"/>
  <c r="I18" i="70"/>
  <c r="I17" i="70"/>
  <c r="I16" i="70"/>
  <c r="I15" i="70"/>
  <c r="I14" i="70"/>
  <c r="I13" i="70"/>
  <c r="I12" i="70"/>
  <c r="I11" i="70"/>
  <c r="I10" i="70"/>
  <c r="H9" i="70"/>
  <c r="G9" i="70"/>
  <c r="F9" i="70"/>
  <c r="E9" i="70"/>
  <c r="D9" i="70"/>
  <c r="C9" i="70"/>
  <c r="I8" i="70"/>
  <c r="I7" i="70"/>
  <c r="I6" i="70"/>
  <c r="I5" i="70"/>
  <c r="I4" i="70"/>
  <c r="C16" i="23"/>
  <c r="D16" i="23"/>
  <c r="O9" i="59"/>
  <c r="E41" i="59"/>
  <c r="F20" i="59"/>
  <c r="F11" i="59"/>
  <c r="C41" i="59"/>
  <c r="D22" i="68"/>
  <c r="D25" i="68" s="1"/>
  <c r="C22" i="68"/>
  <c r="C25" i="68" s="1"/>
  <c r="B22" i="68"/>
  <c r="B25" i="68" s="1"/>
  <c r="C26" i="67"/>
  <c r="C27" i="67"/>
  <c r="C28" i="67"/>
  <c r="C41" i="67" s="1"/>
  <c r="C30" i="67"/>
  <c r="C31" i="67" s="1"/>
  <c r="D31" i="67"/>
  <c r="C34" i="67"/>
  <c r="D34" i="67"/>
  <c r="C35" i="67"/>
  <c r="C42" i="67" s="1"/>
  <c r="D35" i="67"/>
  <c r="D42" i="67" s="1"/>
  <c r="C37" i="67"/>
  <c r="C38" i="67" s="1"/>
  <c r="D37" i="67"/>
  <c r="D38" i="67" s="1"/>
  <c r="B30" i="67"/>
  <c r="B31" i="67" s="1"/>
  <c r="B28" i="67"/>
  <c r="B26" i="67"/>
  <c r="C8" i="67"/>
  <c r="C11" i="67"/>
  <c r="C12" i="67"/>
  <c r="C13" i="67"/>
  <c r="C15" i="67"/>
  <c r="C16" i="67"/>
  <c r="C17" i="67"/>
  <c r="C19" i="67"/>
  <c r="C20" i="67"/>
  <c r="C21" i="67"/>
  <c r="B21" i="67"/>
  <c r="B20" i="67"/>
  <c r="B19" i="67"/>
  <c r="B17" i="67"/>
  <c r="B7" i="67"/>
  <c r="B16" i="67"/>
  <c r="B15" i="67"/>
  <c r="B13" i="67"/>
  <c r="B12" i="67"/>
  <c r="B11" i="67"/>
  <c r="B9" i="67"/>
  <c r="B8" i="67"/>
  <c r="E46" i="13"/>
  <c r="E42" i="13"/>
  <c r="G41" i="59"/>
  <c r="G48" i="59"/>
  <c r="L48" i="59"/>
  <c r="L41" i="59"/>
  <c r="L20" i="59"/>
  <c r="L11" i="59"/>
  <c r="F41" i="59"/>
  <c r="F48" i="59"/>
  <c r="E48" i="59"/>
  <c r="D48" i="59"/>
  <c r="C48" i="59"/>
  <c r="B37" i="67"/>
  <c r="B38" i="67" s="1"/>
  <c r="B35" i="67"/>
  <c r="B42" i="67" s="1"/>
  <c r="B34" i="67"/>
  <c r="D27" i="22"/>
  <c r="C27" i="22"/>
  <c r="B27" i="22"/>
  <c r="D10" i="66"/>
  <c r="C10" i="66"/>
  <c r="B10" i="66"/>
  <c r="D11" i="65"/>
  <c r="B11" i="65"/>
  <c r="D10" i="64"/>
  <c r="C10" i="64"/>
  <c r="B10" i="64"/>
  <c r="D14" i="61"/>
  <c r="C14" i="61"/>
  <c r="O6" i="59"/>
  <c r="O7" i="59"/>
  <c r="N6" i="59"/>
  <c r="N7" i="59"/>
  <c r="C11" i="59"/>
  <c r="C20" i="59"/>
  <c r="E12" i="13"/>
  <c r="D12" i="13"/>
  <c r="C12" i="13"/>
  <c r="B12" i="13"/>
  <c r="F11" i="13"/>
  <c r="F10" i="13"/>
  <c r="E9" i="13"/>
  <c r="D9" i="13"/>
  <c r="C9" i="13"/>
  <c r="B9" i="13"/>
  <c r="F8" i="13"/>
  <c r="F7" i="13"/>
  <c r="D29" i="10"/>
  <c r="D32" i="10" s="1"/>
  <c r="C29" i="10"/>
  <c r="C32" i="10" s="1"/>
  <c r="B29" i="10"/>
  <c r="B32" i="10" s="1"/>
  <c r="O8" i="59"/>
  <c r="O10" i="59"/>
  <c r="G20" i="59"/>
  <c r="G11" i="59"/>
  <c r="D20" i="59"/>
  <c r="H41" i="59"/>
  <c r="I41" i="59"/>
  <c r="J41" i="59"/>
  <c r="K41" i="59"/>
  <c r="M41" i="59"/>
  <c r="N5" i="59"/>
  <c r="O12" i="59"/>
  <c r="O21" i="59"/>
  <c r="O42" i="59"/>
  <c r="O5" i="59"/>
  <c r="J11" i="59"/>
  <c r="K11" i="59"/>
  <c r="J20" i="59"/>
  <c r="K20" i="59"/>
  <c r="J48" i="59"/>
  <c r="K48" i="59"/>
  <c r="H11" i="59"/>
  <c r="M11" i="59"/>
  <c r="N12" i="59"/>
  <c r="N13" i="59"/>
  <c r="N14" i="59"/>
  <c r="N15" i="59"/>
  <c r="N17" i="59"/>
  <c r="H20" i="59"/>
  <c r="M20" i="59"/>
  <c r="N21" i="59"/>
  <c r="N42" i="59"/>
  <c r="H48" i="59"/>
  <c r="I48" i="59"/>
  <c r="M48" i="59"/>
  <c r="D41" i="67"/>
  <c r="C182" i="5" l="1"/>
  <c r="C39" i="67"/>
  <c r="B39" i="67"/>
  <c r="D39" i="67"/>
  <c r="C50" i="5"/>
  <c r="D30" i="62"/>
  <c r="E50" i="13"/>
  <c r="K50" i="59"/>
  <c r="C30" i="62"/>
  <c r="C49" i="62"/>
  <c r="C35" i="5"/>
  <c r="D49" i="62"/>
  <c r="C228" i="5"/>
  <c r="O20" i="59"/>
  <c r="I50" i="59"/>
  <c r="B29" i="67"/>
  <c r="I9" i="70"/>
  <c r="D182" i="5"/>
  <c r="C252" i="5"/>
  <c r="B49" i="62"/>
  <c r="N20" i="59"/>
  <c r="O11" i="59"/>
  <c r="G50" i="59"/>
  <c r="I27" i="70"/>
  <c r="B24" i="67"/>
  <c r="N41" i="59"/>
  <c r="D50" i="5"/>
  <c r="D66" i="5"/>
  <c r="D228" i="5"/>
  <c r="B41" i="67"/>
  <c r="C29" i="67"/>
  <c r="E13" i="13"/>
  <c r="E21" i="13" s="1"/>
  <c r="F12" i="13"/>
  <c r="O48" i="59"/>
  <c r="N11" i="59"/>
  <c r="B50" i="13"/>
  <c r="D50" i="59"/>
  <c r="D35" i="5"/>
  <c r="J50" i="59"/>
  <c r="D151" i="5"/>
  <c r="C40" i="67"/>
  <c r="C151" i="5"/>
  <c r="D252" i="5"/>
  <c r="C66" i="5"/>
  <c r="B30" i="62"/>
  <c r="D13" i="13"/>
  <c r="D21" i="13" s="1"/>
  <c r="B40" i="67"/>
  <c r="E50" i="59"/>
  <c r="N48" i="59"/>
  <c r="O41" i="59"/>
  <c r="F50" i="59"/>
  <c r="C50" i="59"/>
  <c r="C36" i="67"/>
  <c r="M50" i="59"/>
  <c r="L50" i="59"/>
  <c r="D40" i="67"/>
  <c r="F9" i="13"/>
  <c r="B13" i="13"/>
  <c r="C13" i="13"/>
  <c r="H50" i="59"/>
  <c r="B36" i="67"/>
  <c r="D24" i="67"/>
  <c r="D29" i="67"/>
  <c r="C24" i="67"/>
  <c r="D36" i="67"/>
  <c r="C43" i="67" l="1"/>
  <c r="B43" i="67"/>
  <c r="D43" i="67"/>
  <c r="D50" i="62"/>
  <c r="C264" i="5"/>
  <c r="C270" i="5" s="1"/>
  <c r="C50" i="62"/>
  <c r="B50" i="62"/>
  <c r="D168" i="5"/>
  <c r="D187" i="5" s="1"/>
  <c r="N50" i="59"/>
  <c r="C168" i="5"/>
  <c r="C187" i="5" s="1"/>
  <c r="E23" i="13"/>
  <c r="D264" i="5"/>
  <c r="D270" i="5" s="1"/>
  <c r="A31" i="70"/>
  <c r="D23" i="13"/>
  <c r="O50" i="59"/>
  <c r="F13" i="13"/>
  <c r="B21" i="13"/>
  <c r="B23" i="13"/>
  <c r="C21" i="13"/>
  <c r="C23" i="13"/>
  <c r="F21" i="13" l="1"/>
  <c r="F23" i="13"/>
</calcChain>
</file>

<file path=xl/sharedStrings.xml><?xml version="1.0" encoding="utf-8"?>
<sst xmlns="http://schemas.openxmlformats.org/spreadsheetml/2006/main" count="3800" uniqueCount="1199">
  <si>
    <t>Rövid lejáratú hitelek</t>
  </si>
  <si>
    <t xml:space="preserve">Önállóan működő és gazdálkodó intézmények </t>
  </si>
  <si>
    <t>ESZKÖZÖK</t>
  </si>
  <si>
    <t>42.</t>
  </si>
  <si>
    <t>43.</t>
  </si>
  <si>
    <t>44.</t>
  </si>
  <si>
    <t>Dologi és egyéb folyó kiadások</t>
  </si>
  <si>
    <t>Felújítás</t>
  </si>
  <si>
    <t>Államháztartáson kívülre végleges felhalmozási pénzeszk. átadások</t>
  </si>
  <si>
    <t>Hosszú lejáratú hitelek</t>
  </si>
  <si>
    <t>Pénzforgalom nélküli kiadások</t>
  </si>
  <si>
    <t>Kiegyenlítő, függő, átfutó kiadások</t>
  </si>
  <si>
    <t>Intézményi  működési bevételek</t>
  </si>
  <si>
    <t>Államháztartáson kívülről végleges működési pénzeszközátvételek</t>
  </si>
  <si>
    <t>28-ból: Önkormányzatok sajátos felhalmozási és tőkebevételei</t>
  </si>
  <si>
    <t>Felhalmozási célú támogatásértékű bevételek, egyéb támogatások</t>
  </si>
  <si>
    <t>Államháztartáson kívülről végleges felhalmozási pénzeszk. átvételek</t>
  </si>
  <si>
    <t>Támogatások, kiegészítések</t>
  </si>
  <si>
    <t xml:space="preserve">Tájékoztató a Komlói Kistérség Többcélú Önkormányzati Társulás </t>
  </si>
  <si>
    <t xml:space="preserve">a Komlói Kistérség Többcélú Önkormányzati Társulás </t>
  </si>
  <si>
    <t>sor-szám</t>
  </si>
  <si>
    <t>Kiegyenlítő, függő, átfutó bevételek</t>
  </si>
  <si>
    <t>Bevételek összesen (42+…+45)</t>
  </si>
  <si>
    <t>egyszerűsített éves pénzforgalmi kimutatása</t>
  </si>
  <si>
    <t>ÖSSZES KIADÁS</t>
  </si>
  <si>
    <t>Társulás</t>
  </si>
  <si>
    <t>Szilvási Bölcsőde</t>
  </si>
  <si>
    <t>Bölcsőde összesen</t>
  </si>
  <si>
    <t>Társulás összesen</t>
  </si>
  <si>
    <t>Szilvási Bölcsőde összesen</t>
  </si>
  <si>
    <t>Szociális Szolgáltató Központ összesen</t>
  </si>
  <si>
    <t>Családsegítő és Gyermekjóléti Szolgálat összesen</t>
  </si>
  <si>
    <t>Hosszúhetény összesen</t>
  </si>
  <si>
    <t>Magyarhertelend összesen</t>
  </si>
  <si>
    <t>Bodolyabér összesen</t>
  </si>
  <si>
    <t>Mánfa összesen</t>
  </si>
  <si>
    <t>Magyarszék összesen</t>
  </si>
  <si>
    <t>Mecsekpölöske összesen</t>
  </si>
  <si>
    <t>Liget összesen</t>
  </si>
  <si>
    <t>Magyaregregy összesen</t>
  </si>
  <si>
    <t>Kárász összesen</t>
  </si>
  <si>
    <t>Vékény összesen</t>
  </si>
  <si>
    <t>Köblény összesen</t>
  </si>
  <si>
    <t>Máza összesen</t>
  </si>
  <si>
    <t>Egyházakozár összesen</t>
  </si>
  <si>
    <t>Tófű összesen</t>
  </si>
  <si>
    <t>Hegyhátmaróc összesen</t>
  </si>
  <si>
    <t>Szárász összesen</t>
  </si>
  <si>
    <t>Szalatnak összesen</t>
  </si>
  <si>
    <t>Bölcsőde mindösszesen</t>
  </si>
  <si>
    <t>Szászvári körjegyzőség összesen</t>
  </si>
  <si>
    <t>Normatíva azonosító</t>
  </si>
  <si>
    <t>Fajlagos összeg</t>
  </si>
  <si>
    <t>Település</t>
  </si>
  <si>
    <t>Összesen</t>
  </si>
  <si>
    <t>Bodolyabér</t>
  </si>
  <si>
    <t>Egyházaskozár</t>
  </si>
  <si>
    <t>Hegyhátmaróc</t>
  </si>
  <si>
    <t>Hosszúhetény</t>
  </si>
  <si>
    <t>Kárász</t>
  </si>
  <si>
    <t>Komló</t>
  </si>
  <si>
    <t>Köblény</t>
  </si>
  <si>
    <t>Magyaregregy</t>
  </si>
  <si>
    <t>Magyarhertelend</t>
  </si>
  <si>
    <t>Magyarszék</t>
  </si>
  <si>
    <t>Mánfa</t>
  </si>
  <si>
    <t>Máza</t>
  </si>
  <si>
    <t>Mecsekpölöske</t>
  </si>
  <si>
    <t>Szalatnak</t>
  </si>
  <si>
    <t>Szárász</t>
  </si>
  <si>
    <t>Szászvár</t>
  </si>
  <si>
    <t>Tófű</t>
  </si>
  <si>
    <t>Vékény</t>
  </si>
  <si>
    <t>MINDÖSSZESEN</t>
  </si>
  <si>
    <t>Bevételek mindösszesen</t>
  </si>
  <si>
    <t>Kiadások mindösszesen</t>
  </si>
  <si>
    <t>Jogcím megnevezése</t>
  </si>
  <si>
    <t>Mindösszesen</t>
  </si>
  <si>
    <t>Kiegészítő normatíva összesen</t>
  </si>
  <si>
    <t>Családsegítő és Gyermekjóléti Szolgálat</t>
  </si>
  <si>
    <t>Szociális Szolgáltató Központ</t>
  </si>
  <si>
    <t>Cím</t>
  </si>
  <si>
    <t>Társulás mindösszesen</t>
  </si>
  <si>
    <t xml:space="preserve"> - Rehabilitációs hosszú lejáratú köt.</t>
  </si>
  <si>
    <t xml:space="preserve">Adósságállomány 
eszközök szerint </t>
  </si>
  <si>
    <t>Nem lejárt</t>
  </si>
  <si>
    <t>Lejárt</t>
  </si>
  <si>
    <t>Nem lejárt, lejárt összes tartozás</t>
  </si>
  <si>
    <t>1-90 nap közötti</t>
  </si>
  <si>
    <t>91-180 nap közötti</t>
  </si>
  <si>
    <t>181-360 nap közötti</t>
  </si>
  <si>
    <t>360 napon 
túli</t>
  </si>
  <si>
    <t>Összes lejárt tartozás</t>
  </si>
  <si>
    <t>8=(4+…+7)</t>
  </si>
  <si>
    <t>9=(3+8)</t>
  </si>
  <si>
    <t>I. Belföldi hitelezők</t>
  </si>
  <si>
    <t>Adóhatósággal szembeni tartozások</t>
  </si>
  <si>
    <t xml:space="preserve">    </t>
  </si>
  <si>
    <t>Központi költségvetéssel szemben fennálló tartozás</t>
  </si>
  <si>
    <t>Elkülönített állami pénzalapokkal szembeni tartozás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</si>
  <si>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</si>
  <si>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</si>
  <si>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</si>
  <si>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</si>
  <si>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</si>
  <si>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összesen:</t>
  </si>
  <si>
    <t>Adósságállomány mindösszesen:</t>
  </si>
  <si>
    <t>(kedvezmények)</t>
  </si>
  <si>
    <t>Bevételi jogcím</t>
  </si>
  <si>
    <t>Tervezett</t>
  </si>
  <si>
    <t>Tényleges</t>
  </si>
  <si>
    <t>Ellátottak térítési díjának elengedése</t>
  </si>
  <si>
    <t>Ellátottak kártérítésének elengedése</t>
  </si>
  <si>
    <t>Helyiségek hasznosítása utáni kedvezmény, menteség</t>
  </si>
  <si>
    <t>Eszközök hasznosítása utáni kedvezmény, menteség</t>
  </si>
  <si>
    <t>Egyéb kedvezmény</t>
  </si>
  <si>
    <t>ÖNKORMÁNYZAT</t>
  </si>
  <si>
    <t>Eredeti előirányzat</t>
  </si>
  <si>
    <t>Módosított előirányzat</t>
  </si>
  <si>
    <t>Függő, átfutó, kiegyenlítő bevételek</t>
  </si>
  <si>
    <t>Függő, átfutó, kiegyenlítő kiadások</t>
  </si>
  <si>
    <t>Összes bevétel</t>
  </si>
  <si>
    <t>Komló összesen:</t>
  </si>
  <si>
    <t>Előző évi ktgv. visszatér.</t>
  </si>
  <si>
    <t>Különbözet</t>
  </si>
  <si>
    <t>Előző évi költségvetési visszatérítés</t>
  </si>
  <si>
    <t>ÖSSZESEN</t>
  </si>
  <si>
    <t xml:space="preserve">Tartozásállomány önkormányzatok és intézmények felé </t>
  </si>
  <si>
    <t>Támogatási program előlege miatti kötelezettség</t>
  </si>
  <si>
    <t>Komló összesen</t>
  </si>
  <si>
    <t>Működési célú támogatás értékű kiadások</t>
  </si>
  <si>
    <t>Előző évi műk.c. maradvány átadás</t>
  </si>
  <si>
    <t>Előző évi műk.c. maradvány átvétel</t>
  </si>
  <si>
    <t>Működési célú támogatásértékű bevételek</t>
  </si>
  <si>
    <t>Megnevezés</t>
  </si>
  <si>
    <t>Módosított</t>
  </si>
  <si>
    <t>előirányzat</t>
  </si>
  <si>
    <t>összege</t>
  </si>
  <si>
    <t>Teljesítés</t>
  </si>
  <si>
    <t>Sor-szám</t>
  </si>
  <si>
    <t>BEVÉTELEK</t>
  </si>
  <si>
    <t>1.</t>
  </si>
  <si>
    <t>2.</t>
  </si>
  <si>
    <t>3.</t>
  </si>
  <si>
    <t>Intézményi működési bevételek</t>
  </si>
  <si>
    <t>3.1.</t>
  </si>
  <si>
    <t>3.2.</t>
  </si>
  <si>
    <t>4.</t>
  </si>
  <si>
    <t>5.</t>
  </si>
  <si>
    <t>6.</t>
  </si>
  <si>
    <t>7.</t>
  </si>
  <si>
    <t>8.</t>
  </si>
  <si>
    <t>9.</t>
  </si>
  <si>
    <t>KIADÁSOK</t>
  </si>
  <si>
    <t>Működési célú kiadások</t>
  </si>
  <si>
    <t>Személyi juttatások</t>
  </si>
  <si>
    <t>Munkaadókat terhelő járulékok</t>
  </si>
  <si>
    <t>Dologi kiadások</t>
  </si>
  <si>
    <t>1.1.</t>
  </si>
  <si>
    <t>1.2.</t>
  </si>
  <si>
    <t>1.3.</t>
  </si>
  <si>
    <t>1.4.</t>
  </si>
  <si>
    <t>Felhalmozási célú kiadások</t>
  </si>
  <si>
    <t>2.1.</t>
  </si>
  <si>
    <t>Beruházások</t>
  </si>
  <si>
    <t>2.2.</t>
  </si>
  <si>
    <t>Felújítások</t>
  </si>
  <si>
    <t>2.3.</t>
  </si>
  <si>
    <t>2.4.</t>
  </si>
  <si>
    <t>Költségvetési létszámkeret</t>
  </si>
  <si>
    <t>teljesítés/ módosított előir.%-a</t>
  </si>
  <si>
    <t>Eredeti</t>
  </si>
  <si>
    <t>I.</t>
  </si>
  <si>
    <t>II.</t>
  </si>
  <si>
    <t>III.</t>
  </si>
  <si>
    <t>IV.</t>
  </si>
  <si>
    <t>V.</t>
  </si>
  <si>
    <t>VI.</t>
  </si>
  <si>
    <t>VII.</t>
  </si>
  <si>
    <t>Kiadások összesen</t>
  </si>
  <si>
    <t>%-a</t>
  </si>
  <si>
    <t>Önkormányzatok sajátos működési bevétele</t>
  </si>
  <si>
    <t>FELHALMOZÁSI KIADÁSOK ÖSSZESEN</t>
  </si>
  <si>
    <t>Bevételek összesen</t>
  </si>
  <si>
    <t>4.1.</t>
  </si>
  <si>
    <t>Működési bevételek</t>
  </si>
  <si>
    <t>Előző évi pénzmaradvány igénybevétele</t>
  </si>
  <si>
    <t>Létszám fő</t>
  </si>
  <si>
    <t>Összes kiadás</t>
  </si>
  <si>
    <t>telj/mód előir.%-a</t>
  </si>
  <si>
    <t>jóváha-gyott</t>
  </si>
  <si>
    <t>tényle-ges</t>
  </si>
  <si>
    <t>Liget</t>
  </si>
  <si>
    <t xml:space="preserve">Működési célú pénzeszköz átadás Országos Fogyasztóvédelmi Egyesület Baranya Megyei Szervezete </t>
  </si>
  <si>
    <t>Szociális étkeztetés</t>
  </si>
  <si>
    <t>Központi támogatás</t>
  </si>
  <si>
    <t>Zárás</t>
  </si>
  <si>
    <t>Szászvár összesen</t>
  </si>
  <si>
    <t>(adatok Forintban)</t>
  </si>
  <si>
    <t>Időskorúak nappali intézm.  ellátása</t>
  </si>
  <si>
    <t xml:space="preserve">Zárás </t>
  </si>
  <si>
    <t>Intézmény</t>
  </si>
  <si>
    <t>Munkaadókat terh. járulékok</t>
  </si>
  <si>
    <t xml:space="preserve">Eredeti </t>
  </si>
  <si>
    <t xml:space="preserve">Módosított </t>
  </si>
  <si>
    <t>Telj.</t>
  </si>
  <si>
    <t>%</t>
  </si>
  <si>
    <t>Szoc. Szolg. Központ</t>
  </si>
  <si>
    <t>Családsegítő</t>
  </si>
  <si>
    <t>Bölcsőde</t>
  </si>
  <si>
    <t>ÖSSZES BEVÉTEL</t>
  </si>
  <si>
    <t>Hajléktalanok átm. ell.</t>
  </si>
  <si>
    <t>Id. klubja</t>
  </si>
  <si>
    <t xml:space="preserve">Szociális étkeztetés   </t>
  </si>
  <si>
    <t>Alap normatíva</t>
  </si>
  <si>
    <t>Kiegészítő normatíva</t>
  </si>
  <si>
    <t>Mód.</t>
  </si>
  <si>
    <t>Támogatás értékű bev. műkődési célra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</si>
  <si>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</si>
  <si>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</si>
  <si>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</si>
  <si>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</si>
  <si>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</si>
  <si>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</si>
  <si>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</si>
  <si>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</si>
  <si>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</si>
  <si>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</si>
  <si>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</si>
  <si>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</si>
  <si>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</si>
  <si>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</si>
  <si>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Nyitó               január 1.</t>
  </si>
  <si>
    <t>Záró               december 31.</t>
  </si>
  <si>
    <t>Működési célú pénzeszköz átvétel</t>
  </si>
  <si>
    <t>Időskorúak nappali intézményi ellátása - Társulás által történő feladatellátás</t>
  </si>
  <si>
    <t>Hajléktalanok átmeneti szállása - Társulás által történő feladatellátás</t>
  </si>
  <si>
    <t xml:space="preserve"> - ÁFA befizetési kötelezettség</t>
  </si>
  <si>
    <t>(adatok Ft-ban)</t>
  </si>
  <si>
    <t>Felhalmozási célú pénzeszköz átvétel</t>
  </si>
  <si>
    <t>Elvonások és befizetések</t>
  </si>
  <si>
    <t>Követelések</t>
  </si>
  <si>
    <t>Költségvetési
 évben 
esedékes</t>
  </si>
  <si>
    <t>Költségvetési
évet követően
esedékes</t>
  </si>
  <si>
    <t>ebből: szolgáltatások ellenértéke</t>
  </si>
  <si>
    <t>ebből: ellátási díjak</t>
  </si>
  <si>
    <t>ebből: kiszámlázott általános forgalmi adó</t>
  </si>
  <si>
    <t>ebből: általános forgalmi adó visszatérítése</t>
  </si>
  <si>
    <t>ebből: kamatbevételek</t>
  </si>
  <si>
    <t>Bikal</t>
  </si>
  <si>
    <t>Bikal összesen</t>
  </si>
  <si>
    <t>Oroszló</t>
  </si>
  <si>
    <t>Oroszló összesen</t>
  </si>
  <si>
    <t>Gyermekétkeztetés támogatása - dolgozók bértámogatása</t>
  </si>
  <si>
    <t xml:space="preserve">Gyermekétkeztetés üzemeltetési támogatása </t>
  </si>
  <si>
    <t>Komló Térségi Családsegítő és Gyermekjóléti Szolgálat</t>
  </si>
  <si>
    <t>Komló Térségi Integrált Szociális Szolgáltató Központ</t>
  </si>
  <si>
    <t>Gyemekétkeztetés-dolgozók bértámogatása</t>
  </si>
  <si>
    <t>Gyermekétkeztetés üzemeltetési támogatása</t>
  </si>
  <si>
    <t>2 fő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</si>
  <si>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</si>
  <si>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</si>
  <si>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</si>
  <si>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</si>
  <si>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</si>
  <si>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</si>
  <si>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</si>
  <si>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</si>
  <si>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</si>
  <si>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</si>
  <si>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</si>
  <si>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</si>
  <si>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</si>
  <si>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</si>
  <si>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</si>
  <si>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</si>
  <si>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</si>
  <si>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</si>
  <si>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</si>
  <si>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</si>
  <si>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</si>
  <si>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</si>
  <si>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</si>
  <si>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</si>
  <si>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</si>
  <si>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</si>
  <si>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</si>
  <si>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</si>
  <si>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</si>
  <si>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</si>
  <si>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</si>
  <si>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</si>
  <si>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</si>
  <si>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</si>
  <si>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</si>
  <si>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</si>
  <si>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</si>
  <si>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</si>
  <si>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</si>
  <si>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</si>
  <si>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</si>
  <si>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</si>
  <si>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</si>
  <si>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</si>
  <si>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</si>
  <si>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</si>
  <si>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</si>
  <si>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</si>
  <si>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</si>
  <si>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</si>
  <si>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</si>
  <si>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</si>
  <si>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</si>
  <si>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</si>
  <si>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</si>
  <si>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</si>
  <si>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</si>
  <si>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</si>
  <si>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</si>
  <si>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</si>
  <si>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</si>
  <si>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</si>
  <si>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</si>
  <si>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</si>
  <si>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</si>
  <si>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</si>
  <si>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</si>
  <si>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</si>
  <si>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</si>
  <si>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</si>
  <si>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</si>
  <si>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</si>
  <si>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</si>
  <si>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</si>
  <si>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</si>
  <si>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</si>
  <si>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</si>
  <si>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</si>
  <si>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</si>
  <si>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</si>
  <si>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</si>
  <si>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</si>
  <si>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</si>
  <si>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</si>
  <si>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</si>
  <si>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</si>
  <si>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</si>
  <si>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</si>
  <si>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</si>
  <si>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</si>
  <si>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</si>
  <si>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</si>
  <si>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</si>
  <si>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</si>
  <si>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</si>
  <si>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</si>
  <si>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</si>
  <si>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</si>
  <si>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</si>
  <si>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</si>
  <si>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</si>
  <si>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</si>
  <si>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</si>
  <si>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</si>
  <si>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</si>
  <si>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</si>
  <si>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</si>
  <si>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</si>
  <si>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</si>
  <si>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</si>
  <si>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</si>
  <si>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</si>
  <si>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</si>
  <si>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</si>
  <si>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</si>
  <si>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</si>
  <si>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</si>
  <si>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</si>
  <si>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</si>
  <si>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</si>
  <si>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</si>
  <si>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</si>
  <si>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</si>
  <si>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</si>
  <si>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</si>
  <si>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</si>
  <si>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</si>
  <si>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</si>
  <si>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</si>
  <si>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</si>
  <si>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</si>
  <si>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</si>
  <si>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</si>
  <si>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</si>
  <si>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</si>
  <si>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</si>
  <si>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</si>
  <si>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</si>
  <si>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</si>
  <si>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</si>
  <si>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01        Alaptevékenység költségvetési bevételei</t>
  </si>
  <si>
    <t>02        Alaptevékenység költségvetési kiadásai</t>
  </si>
  <si>
    <t>I          Alaptevékenység költségvetési egyenlege (=01-02)</t>
  </si>
  <si>
    <t>03        Alaptevékenység finanszírozási bevételei</t>
  </si>
  <si>
    <t>04        Alaptevékenység finanszírozási kiadásai</t>
  </si>
  <si>
    <t>II         Alaptevékenység finanszírozási egyenlege (=03-04)</t>
  </si>
  <si>
    <t>A)        Alaptevékenység maradványa (=±I±II)</t>
  </si>
  <si>
    <t>05        Vállalkozási tevékenység költségvetési bevételei</t>
  </si>
  <si>
    <t>06        Vállalkozási tevékenység költségvetési kiadásai</t>
  </si>
  <si>
    <t>III        Vállalkozási tevékenység költségvetési egyenlege (=05-06)</t>
  </si>
  <si>
    <t>07        Vállalkozási tevékenység finanszírozási bevételei</t>
  </si>
  <si>
    <t>08        Vállalkozási tevékenység finanszírozási kiadásai</t>
  </si>
  <si>
    <t>IV        Vállalkozási tevékenység finanszírozási egyenlege (=07-08)</t>
  </si>
  <si>
    <t>B)        Vállalkozási tevékenység maradványa (=±III±IV)</t>
  </si>
  <si>
    <t>C)        Összes maradvány (=A+B)</t>
  </si>
  <si>
    <t>D)        Alaptevékenység kötelezettségvállalással terhelt maradványa</t>
  </si>
  <si>
    <t>E)        Alaptevékenység szabad maradványa (=A-D)</t>
  </si>
  <si>
    <t>F)        Vállalkozási tevékenységet terhelő befizetési kötelezettség (=B*0,1)</t>
  </si>
  <si>
    <t>G)        Vállalkozási tevékenység felhasználható maradványa (=B-F)</t>
  </si>
  <si>
    <t>Kiadási előirányzat összesen</t>
  </si>
  <si>
    <t xml:space="preserve">Bevételek összesen </t>
  </si>
  <si>
    <t>Maradvány</t>
  </si>
  <si>
    <t>Előző időszak</t>
  </si>
  <si>
    <t>Módosítások</t>
  </si>
  <si>
    <t>Tárgyi időszak</t>
  </si>
  <si>
    <t>01        Közhatalmi eredményszemléletű bevételek</t>
  </si>
  <si>
    <t>02        Eszközök és szolgáltatások értékesítése nettó eredményszemléletű bevételei</t>
  </si>
  <si>
    <t>03        Tevékenység egyéb nettó eredményszemléletű bevételei</t>
  </si>
  <si>
    <t>I        Tevékenység nettó eredményszemléletű bevétele (=01+02+03) (04=01+02+03)</t>
  </si>
  <si>
    <t>04        Saját termelésű készletek állományváltozása</t>
  </si>
  <si>
    <t>05        Saját előállítású eszközök aktivált értéke</t>
  </si>
  <si>
    <t>II        Aktivált saját teljesítmények értéke (=±04+05) (07=±05+06)</t>
  </si>
  <si>
    <t>06        Központi működési célú támogatások eredményszemléletű bevételei</t>
  </si>
  <si>
    <t>07        Egyéb működési célú támogatások eredményszemléletű bevételei</t>
  </si>
  <si>
    <t>VI        Értékcsökkenési leírás</t>
  </si>
  <si>
    <t>VII        Egyéb ráfordítások</t>
  </si>
  <si>
    <t>Egyéb működési célú kiadás</t>
  </si>
  <si>
    <t>Házi segítségnyújtás összesen</t>
  </si>
  <si>
    <t>Jelzőrendszeres házi segítségnyújtás összesen</t>
  </si>
  <si>
    <t>Szociális étkeztetés összesen</t>
  </si>
  <si>
    <t>Idősek Klubja összesen</t>
  </si>
  <si>
    <t>Hajléktalanok ellátása össesen</t>
  </si>
  <si>
    <t>KOMLÓ ÖSSZESEN</t>
  </si>
  <si>
    <t>SZÁSZVÁR ÖSSZESEN</t>
  </si>
  <si>
    <t>EGYHÁZASKOZÁR ÖSSZESEN</t>
  </si>
  <si>
    <t>Támogatás értékű bev. felhalmozási célra</t>
  </si>
  <si>
    <t>+10%</t>
  </si>
  <si>
    <t>+30%</t>
  </si>
  <si>
    <t>+50%</t>
  </si>
  <si>
    <t>Bérkompenzáció</t>
  </si>
  <si>
    <t>Szociális ágazati pótlék</t>
  </si>
  <si>
    <t>EU-s támogatás</t>
  </si>
  <si>
    <t>Központi, irányító szervi támogatás (Intézményfinanszírozás)</t>
  </si>
  <si>
    <t>Társulás főszámla</t>
  </si>
  <si>
    <t>TÁRSULÁS ÖSSZESEN</t>
  </si>
  <si>
    <t>Nyitó egyenleg</t>
  </si>
  <si>
    <t>Bevételek</t>
  </si>
  <si>
    <t>Kiadások</t>
  </si>
  <si>
    <t>Záró egyenleg</t>
  </si>
  <si>
    <t>SZOCIÁLIS SZOLGÁLTATÓ KÖZPONT ÖSSZESEN</t>
  </si>
  <si>
    <t>Szociális Szolgáltató Központ főszámla</t>
  </si>
  <si>
    <t>Családsegítő és Gyermekjóléti Szolgálat főszámla</t>
  </si>
  <si>
    <t>CSALÁDSEGÍTŐ ÉS GYERMEKJÓLÉTI SZOLGÁLAT ÖSSZESEN</t>
  </si>
  <si>
    <t>Közfoglalkoztatott elkülönített számla</t>
  </si>
  <si>
    <t>SZILVÁSI BÖLCSÖDE ÖSSZESEN</t>
  </si>
  <si>
    <t>Szilvási Bölcsöde főszámla</t>
  </si>
  <si>
    <t>7/a. számú melléklet</t>
  </si>
  <si>
    <t xml:space="preserve">Finanszírozási műveletek eredménye </t>
  </si>
  <si>
    <t>Költségvetési pénzforgalmi kiadások összesen</t>
  </si>
  <si>
    <t>Finanszírozási kiadások összesen</t>
  </si>
  <si>
    <t>Pénzforgalmi kiadások</t>
  </si>
  <si>
    <t>Költségvetési pénzforgalmi bevételek összesen</t>
  </si>
  <si>
    <t>Pénzforgalmi bevételek</t>
  </si>
  <si>
    <t>IX.</t>
  </si>
  <si>
    <t>XI.</t>
  </si>
  <si>
    <t>XII.</t>
  </si>
  <si>
    <t>XIII.</t>
  </si>
  <si>
    <t>XIV.</t>
  </si>
  <si>
    <t>31-ből: Önkormányzatok költségvetési támogatása</t>
  </si>
  <si>
    <t>(adatok  Ft-ban)</t>
  </si>
  <si>
    <t>Összeg Ft-ban</t>
  </si>
  <si>
    <t>Család- és gyermekjóléti szolgálat</t>
  </si>
  <si>
    <t>Család- és gyermekjóléti központ</t>
  </si>
  <si>
    <t>MÁNFA ÖSSZESEN</t>
  </si>
  <si>
    <t>Működési célú támogatások államháztartáson belülről</t>
  </si>
  <si>
    <t>Intézmény finanszírozás (halmozódás)</t>
  </si>
  <si>
    <t>Egyéb működési célú támogatás áht.-n belülről</t>
  </si>
  <si>
    <t>2.3.1.</t>
  </si>
  <si>
    <t>2.3.2.</t>
  </si>
  <si>
    <t>2.3.3.</t>
  </si>
  <si>
    <t>Normatíva</t>
  </si>
  <si>
    <t>2.1.1.</t>
  </si>
  <si>
    <t>2.1.2.</t>
  </si>
  <si>
    <t>2.1.3.</t>
  </si>
  <si>
    <t>2.1.5.</t>
  </si>
  <si>
    <t>Intézményi működési bevétel</t>
  </si>
  <si>
    <t>Felhalmozási célú támogatások államháztartáson belülről</t>
  </si>
  <si>
    <t>Előző évi működési költségvetési maradvány igénybevétele</t>
  </si>
  <si>
    <t>1.4.1.</t>
  </si>
  <si>
    <t>1.4.2.</t>
  </si>
  <si>
    <t>1.4.3.</t>
  </si>
  <si>
    <t>1.4.4.</t>
  </si>
  <si>
    <t>1.4.5.</t>
  </si>
  <si>
    <t>Városgondnokság gyepmesteri hozzájárulás</t>
  </si>
  <si>
    <t>Jogcím</t>
  </si>
  <si>
    <t>COFOG</t>
  </si>
  <si>
    <t>011130</t>
  </si>
  <si>
    <t>013360</t>
  </si>
  <si>
    <t>018030</t>
  </si>
  <si>
    <t>042180</t>
  </si>
  <si>
    <t>041233</t>
  </si>
  <si>
    <t>Állat-egészségügy</t>
  </si>
  <si>
    <t>Önk.és önk-i hivatalok jogalkotó és ált.ig.</t>
  </si>
  <si>
    <t>072112</t>
  </si>
  <si>
    <t>Házi orvosi ügyeleti ellátás</t>
  </si>
  <si>
    <t>TÁMOP 5.3.1.B-2-12/2-2014-0153</t>
  </si>
  <si>
    <t>Támogatási célú finanszírozási műveletek</t>
  </si>
  <si>
    <t>Más szerv részére végzett pü-i, gazd-i szolg.</t>
  </si>
  <si>
    <t>Házi segítségnyújtás</t>
  </si>
  <si>
    <t>Jelzőrendszeres házi segítségnyújtás</t>
  </si>
  <si>
    <t>Idősek nappali ellátása</t>
  </si>
  <si>
    <t>Hajléktalanok átmeneti szállása</t>
  </si>
  <si>
    <t>Család és gyermekjóléti szolgáltatások</t>
  </si>
  <si>
    <t>Család és gyermekjóléti központ</t>
  </si>
  <si>
    <t>Gyermekek bölcsődei ellátása</t>
  </si>
  <si>
    <t>Gyermekétkeztetés bölcsődében</t>
  </si>
  <si>
    <t>Munkahelyi étkeztetés bölcsődében</t>
  </si>
  <si>
    <t>1. Társulás költségvetési szerv</t>
  </si>
  <si>
    <t>Társuláshoz rendelt költségvetési szervek</t>
  </si>
  <si>
    <t>1/3. Komló Térségi Családsegítő és Gyermekjóléti Szolgálat</t>
  </si>
  <si>
    <t>1/2. Komló Térségi Integrált Szociális Szolgáltató Központ</t>
  </si>
  <si>
    <t>1/4. K.K.T.Ö.T. Szilvási Bölcsőde</t>
  </si>
  <si>
    <t>Hajléktalanok ellátása átmeneti szálláson</t>
  </si>
  <si>
    <t>Hosszabb időtartamú közfoglalkoztatás</t>
  </si>
  <si>
    <t>Intézményen kívüli étkezés</t>
  </si>
  <si>
    <t>Intézményen kívüli étkeztetés</t>
  </si>
  <si>
    <t>Költségvetési évben esedékes</t>
  </si>
  <si>
    <t>Költségvetési évet követően esedékes</t>
  </si>
  <si>
    <t>X.</t>
  </si>
  <si>
    <t>Bankszámla záróegyenlege (VII. - XII.)</t>
  </si>
  <si>
    <t>Költségvetési maradvány (V. - X.)</t>
  </si>
  <si>
    <t>Kötelezettségek</t>
  </si>
  <si>
    <t xml:space="preserve">Település                   </t>
  </si>
  <si>
    <t xml:space="preserve">Működési célú pénzeszköz átadás NEFELA Dél-magyarországi Jégesőelhárítási Egyesülés (jégesőelhárítás) </t>
  </si>
  <si>
    <t>Bevétel</t>
  </si>
  <si>
    <t>Szociális ágazati
pótlék</t>
  </si>
  <si>
    <t>Szociális ágazati
kiegészítő pótlék</t>
  </si>
  <si>
    <t>Kiadás</t>
  </si>
  <si>
    <t>Bevétel - Kiadás
Maradvány</t>
  </si>
  <si>
    <t xml:space="preserve">Magyarszék </t>
  </si>
  <si>
    <t>Települések összesen</t>
  </si>
  <si>
    <t>Tárulás</t>
  </si>
  <si>
    <t>08        Felhalmozási célú támogatások eredményszemléletű bevételei</t>
  </si>
  <si>
    <t>09        Különféle egyéb eredményszemléletű bevételek</t>
  </si>
  <si>
    <t>III        Egyéb eredményszemléletű bevételek (=06+07+08+09) (12=08+09+10+11)</t>
  </si>
  <si>
    <t>10        Anyagköltség</t>
  </si>
  <si>
    <t>11        Igénybe vett szolgáltatások értéke</t>
  </si>
  <si>
    <t>12        Eladott áruk beszerzési értéke</t>
  </si>
  <si>
    <t>13        Eladott (közvetített) szolgáltatások értéke</t>
  </si>
  <si>
    <t>IV        Anyagjellegű ráfordítások (=10+11+12+13) (17=13+...+16)</t>
  </si>
  <si>
    <t>14        Bérköltség</t>
  </si>
  <si>
    <t>15        Személyi jellegű egyéb kifizetések</t>
  </si>
  <si>
    <t>16        Bérjárulékok</t>
  </si>
  <si>
    <t>V        Személyi jellegű ráfordítások (=14+15+16) (21=18+...+20)</t>
  </si>
  <si>
    <t>A) TEVÉKENYSÉGEK EREDMÉNYE (=I±II+III-IV-V-VI-VII) (24=04±07+12-(17+21+22+23))</t>
  </si>
  <si>
    <t>17        Kapott (járó) osztalék és részesedés</t>
  </si>
  <si>
    <t>18        Részesedésekből származó eredményszemléletű bevételek, árfolyamnyereségek</t>
  </si>
  <si>
    <t>19        Befektetett pénzügyi eszközökből származó eredményszemléletű bevételek, árfolyamnyereségek (&gt;=18a) (26&gt;=27)</t>
  </si>
  <si>
    <t>20        Egyéb kapott (járó) kamatok és kamatjellegű eredményszemléletű bevételek</t>
  </si>
  <si>
    <t>21        Pénzügyi műveletek egyéb eredményszemléletű bevételei (&gt;=21a+21b) (29&gt;=30+31)</t>
  </si>
  <si>
    <t>21a      - ebből: lekötött bankbetétek mérlegfordulónapi értékelése során megállapított (nem realizált) árfolyamnyeresége</t>
  </si>
  <si>
    <t>21b      - ebből: egyéb pénzeszközök mérlegfordulónapi értékelése során megállapított (nem realizált) árfolyamnyeresége</t>
  </si>
  <si>
    <t>VIII        Pénzügyi műveletek eredményszemléletű bevételei (=17+18+19+20+21) (32=25+...+31)</t>
  </si>
  <si>
    <t>22        Részesedéskből származó ráfordítások, árfolyamveszteségek</t>
  </si>
  <si>
    <t>23        Befektetett pénzügyi eszközökből (értékpapírokból, kölcsönökből) származó ráfordítások, árfolyamveszteségek</t>
  </si>
  <si>
    <t>24        Fizetendő kamatok és kamatjellegű ráfordítások</t>
  </si>
  <si>
    <t>25        Részesedések, értékpapírok, pénzeszközök értékvesztése (&gt;=25a+25b) (36&gt;=37+38)</t>
  </si>
  <si>
    <t>25a       - ebből: lekötött bankbetétek értékvesztése</t>
  </si>
  <si>
    <t>25b       - ebből: Kincstáron kívüli forint- és devizaszámlák értékvesztése</t>
  </si>
  <si>
    <t>26        Pénzügyi műveletek egyéb ráfordításai (&gt;=26a+26b) (39&gt;=40+41)</t>
  </si>
  <si>
    <t>26a       - ebből: lekötött bankbetétek mérlegfordulónapi értékelése során megállapított (nem realizált) árfolyamvesztesége</t>
  </si>
  <si>
    <t>26b       - ebből: egyéb pénzeszközök mérlegfordulónapi értékelése során megállapított (nem realizált) árfolyamvesztesége</t>
  </si>
  <si>
    <t>IX        Pénzügyi műveletek ráfordításai (=22+23+24+25+26) (42=33+...+41)</t>
  </si>
  <si>
    <t>B)        PÉNZÜGYI MŰVELETEK EREDMÉNYE (=VIII-IX) (43=32-42)</t>
  </si>
  <si>
    <t>C)        MÉRLEG SZERINTI EREDMÉNY (=±A±B) (44=±24±43)</t>
  </si>
  <si>
    <t xml:space="preserve">A/I/1 Vagyoni értékű jogok </t>
  </si>
  <si>
    <t>A/I/2 Szellemi termékek</t>
  </si>
  <si>
    <t xml:space="preserve">A/I/3 Immateriális javak értékhelyesbítése </t>
  </si>
  <si>
    <t>A/I Immateriális javak (=A/I/1+A/I/2+A/I/3)</t>
  </si>
  <si>
    <t xml:space="preserve">A/II/1 Ingatlanok és a kapcsolódó vagyoni értékű jogok </t>
  </si>
  <si>
    <t xml:space="preserve">A/II/2 Gépek, berendezések, felszerelések, járművek </t>
  </si>
  <si>
    <t xml:space="preserve">A/II/3 Tenyészállatok </t>
  </si>
  <si>
    <t xml:space="preserve">A/II/4 Beruházások, felújítások </t>
  </si>
  <si>
    <t>A/II/5 Tárgyi eszközök értékhelyesbítése</t>
  </si>
  <si>
    <t>A/II Tárgyi eszközök (=A/II/1+...+A/II/5)</t>
  </si>
  <si>
    <t>A/III/1 Tartós részesedések (=A/III/1a+…+A/III/1e)</t>
  </si>
  <si>
    <t>A/III/1a - ebből: tartós részesedések jegybankban</t>
  </si>
  <si>
    <t>A/III/1b - ebből: tartós részesedések nem pénzügyi vállalkozásban</t>
  </si>
  <si>
    <t>A/III/1c - ebből: tartós részesedésel pénzügyi vállalkozásban</t>
  </si>
  <si>
    <t>A/III/1d - ebből: tartós részesedések társulásban</t>
  </si>
  <si>
    <t>A/III/1e - ebből: egyéb tartós részesedések</t>
  </si>
  <si>
    <t>A/III/2 Tartós hitelviszonyt megtestesítő értékpapírok (&gt;=A/III/2a+A/III/2/b)</t>
  </si>
  <si>
    <t>A/III/2a - ebből: államkötvények</t>
  </si>
  <si>
    <t>A/III/2b - ebből: helyi önkormányzatok kötvényei</t>
  </si>
  <si>
    <t xml:space="preserve">A/III/3 Befektetett pénzügyi eszközök értékhelyesbítése </t>
  </si>
  <si>
    <t>A/III Befektetett pénzügyi eszközök (=A/III/1+A/III/2+A/III/3)</t>
  </si>
  <si>
    <t>A/IV/1 Koncesszióba, vagyonkezelésbe adott eszközök (=A/IV/1a+A/IV/1b+A/IV/1c)</t>
  </si>
  <si>
    <t>A/IV/1a - ebből: immateriális javak</t>
  </si>
  <si>
    <t>A/IV/1b - ebből: tárgyi eszközök</t>
  </si>
  <si>
    <t>A/IV/1c - ebből: tartós részesedések, tartós hitelviszonyt megtestesítő értékpapírok</t>
  </si>
  <si>
    <t>A/IV/2 Koncesszióba, vagyonkezelésbe adott eszközök értékhelyesbítése</t>
  </si>
  <si>
    <t>A/IV Koncesszióba, vagyonkezelésbe adott eszközök (=A/IV/1+A/IV/2)</t>
  </si>
  <si>
    <t>A) NEMZETI VAGYONBA TARTOZÓ BEFEKTETETT ESZKÖZÖK (=A/I+A/II+A/III+A/IV)</t>
  </si>
  <si>
    <t>B/I/1 Vásárolt készletek</t>
  </si>
  <si>
    <t>B/I/2 Átsorolt, követelés fejében átvett készletek</t>
  </si>
  <si>
    <t>B/I/3 Egyéb készletek</t>
  </si>
  <si>
    <t>B/I/4  Befejezetlen termelés, félkész termékek, késztermékek</t>
  </si>
  <si>
    <t xml:space="preserve">B/I/5 Növendék-, hízó és egyéb állatok </t>
  </si>
  <si>
    <t>B/I Készletek (=B/I/1+…+B/I/5)</t>
  </si>
  <si>
    <t>B/II/1 Nem tartós részesedések</t>
  </si>
  <si>
    <t>B/II/2 Forgatási célú hitelviszonyt megtestesítő értékpapírok (&gt;=B/II/2a+…+B/II/2e)</t>
  </si>
  <si>
    <t>B/II/2a - ebből: kárpótlási jegyek</t>
  </si>
  <si>
    <t>B/II/2b - ebből: kincstárjegyek</t>
  </si>
  <si>
    <t>B/II/2c - ebből: államkötvények</t>
  </si>
  <si>
    <t>B/II/2d - ebből: helyi önkormányzatok kötvényei</t>
  </si>
  <si>
    <t>B/II/2e - ebből: befektetési jegyek</t>
  </si>
  <si>
    <t>B/II Értékpapírok (=B/II/1+B/II/2)</t>
  </si>
  <si>
    <t>B) NEMZETI VAGYONBA TARTOZÓ FORGÓESZKÖZÖK (= B/I+B/II)</t>
  </si>
  <si>
    <t>C/I/1 Éven túli lejáratú forint lekötött bankbetétek</t>
  </si>
  <si>
    <t>C/I/2 Éven túli lejáratú deviza lekötött bankbetétek</t>
  </si>
  <si>
    <t>C/I/3 Éven belüli lejáratú forint lekötött bankbetétek</t>
  </si>
  <si>
    <t>C/I/4 Éven belüli lejáratú deviza lekötött bankbetétek</t>
  </si>
  <si>
    <t>C/I Lekötött bankbetétek (=C/I/1+…+C/I/4)</t>
  </si>
  <si>
    <t>C/II/1 Forintpénztár</t>
  </si>
  <si>
    <t>C/II/2 Valutapénztár</t>
  </si>
  <si>
    <t>C/II/3 Betétkönyvek, csekkek, elektronikus pénzeszközök</t>
  </si>
  <si>
    <t>C/II Pénztárak, csekkek, betétkönyvek (=C/II/1+C/II/2+C/II/3)</t>
  </si>
  <si>
    <t>C/III/1 Kincstáron kívüli forintszámlák</t>
  </si>
  <si>
    <t>C/III/2 Kincstárban vezetett forintszámlák</t>
  </si>
  <si>
    <t>C/III Forintszámlák (=C/III/1+C/III/2)</t>
  </si>
  <si>
    <t>C/IV/1 Kincstáron kívüli devizaszámlák</t>
  </si>
  <si>
    <t>C/IV/2 Kincstárban vezetett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</si>
  <si>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</si>
  <si>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</si>
  <si>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 (&gt;=D/I/1a)</t>
  </si>
  <si>
    <t>D/I/1a - ebből: költségvetési évben esedékes követelések működési célú visszatérítendő támogatások, kölcsönök visszatérülésére államháztartáson belülről</t>
  </si>
  <si>
    <t>D/I/2 Költségvetési évben esedékes követelések felhalmozási célú támogatások bevételeire államháztartáson belülről (&gt;=D/I/2a)</t>
  </si>
  <si>
    <t>D/I/2a - ebből: költségvetési évben esedékes követelések felhalmozási célú visszatérítendő támogatások, kölcsönök visszatérülésére államháztartáson belülről</t>
  </si>
  <si>
    <t>D/I/3 Költségvetési évben esedékes követelések közhatalmi bevételre (=D/I/3a+…+D/I/3f)</t>
  </si>
  <si>
    <t>D/I/3a  - ebből: költségvetési évben esedékes követelések jövedelemadókra</t>
  </si>
  <si>
    <t>D/I/3b - ebből: költségvetési évben esedékes követelések szociális hozzájárulási adóra és járulékokra</t>
  </si>
  <si>
    <t>D/I/3c - ebből: költségvetési évben esedékes követelések bérhez és foglalkoztatáshoz kapcsolódó adókra</t>
  </si>
  <si>
    <t>D/I/3d - ebből: költségvetési évben esedékes követelések vagyoni típusú adókra</t>
  </si>
  <si>
    <t>D/I/3e - ebből: költségvetési évben esedékes követelések termékek és szolgáltatások adóira</t>
  </si>
  <si>
    <t>D/I/3f - ebből: költségvetési évben esedékes követelések egyéb közhatalmi bevételekre</t>
  </si>
  <si>
    <t>D/I/4 Költségvetési évben esedékes követelések működési bevételre (=D/I/4a+…+D/I/4i)</t>
  </si>
  <si>
    <t>D/I/4a - ebből: költségvetési évben esedékes követelések készletértékesítés ellenértékére, szolgáltatások ellenértékére, közvetített szolgáltatások ellenértékére</t>
  </si>
  <si>
    <t>D/I/4b - ebből: költségvetési évben esedékes követelések tulajdonosi bevételekre</t>
  </si>
  <si>
    <t>D/I/4c - ebből: költségvetési évben esedékes követelések ellátási díjakra</t>
  </si>
  <si>
    <t>D/I/4d - ebből: költségvetési évben esedékes követelések kiszámlázott általános forgalmi adóra</t>
  </si>
  <si>
    <t>D/I/4e - ebből: költségvetési évben esedékes követelések általános forgalmi adó visszatérítésére</t>
  </si>
  <si>
    <t>D/I/4f - ebből: költségvetési évben esedékes követelések kamatbevételekre és más nyereségjellegű bevételekre</t>
  </si>
  <si>
    <t>D/I/4g - ebből: költségvetési évben esedékes követelések egyéb pénzügyi műveletek bevételeire</t>
  </si>
  <si>
    <t>D/I/4h - ebből: költségvetési évben esedékes követelések biztosító által fizetett kártérítésre</t>
  </si>
  <si>
    <t>D/I/4i - ebből: költségvetési évben esedékes követelések egyéb működési bevételekre</t>
  </si>
  <si>
    <t>D/I/5 Költségvetési évben esedékes követelések felhalmozási bevételre (=D/I/5a+…+D/I/5e)</t>
  </si>
  <si>
    <t>D/I/5a - ebből: költségvetési évben esedékes követelések immateriális javak értékesítésére</t>
  </si>
  <si>
    <t>D/I/5b - ebből: költségvetési évben esedékes követelések ingatlanok értékesítésére</t>
  </si>
  <si>
    <t>D/I/5c - ebből: költségvetési évben esedékes követelések egyéb tárgyi eszközök értékesítésére</t>
  </si>
  <si>
    <t>D/I/5d - ebből: költségvetési évben esedékes követelések részesedések értékesítésére</t>
  </si>
  <si>
    <t>D/I/5e - ebből: költségvetési évben esedékes követelések részesedések megszűnéséhez kapcsolódó bevételekre</t>
  </si>
  <si>
    <t>D/I/6 Költségvetési évben esedékes követelések működési célú átvett pénzeszközre (&gt;=D/I/6a+D/I/6b+D/I/6c)</t>
  </si>
  <si>
    <t>D/I/6a - ebből: költségvetési évben esedékes követelések működési célú visszatérítendő támogatások, kölcsönök visszatérülése az Európai Uniótól</t>
  </si>
  <si>
    <t>D/I/6b - ebből: költségvetési évben esedékes követelések működési célú visszatérítendő támogatások, kölcsönök visszatérülése kormányoktól és más nemzetközi szervezetektől</t>
  </si>
  <si>
    <t>D/I/6c - ebből: költségvetési évben esedékes követelések működési célú visszatérítendő támogatások, kölcsönök visszatérülésére államháztartáson kívülről</t>
  </si>
  <si>
    <t>D/I/7 Költségvetési évben esedékes követelések felhalmozási célú átvett pénzeszközre (&gt;=D/I/7a+D/I/7b+D/I/7c)</t>
  </si>
  <si>
    <t>D/I/7a - ebből: költségvetési évben esedékes követelések felhalmozási célú visszatérítendő támogatások, kölcsönök visszatérülése az Európai Uniótól</t>
  </si>
  <si>
    <t>D/I/7b - ebből: költségvetési évben esedékes követelések felhalmozási célú visszatérítendő támogatások, kölcsönök visszatérülése kormányoktól és más nemzetközi szervezetektől</t>
  </si>
  <si>
    <t>D/I/7c - ebből: költségvetési évben esedékes követelések felhalmozási célú visszatérítendő támogatások, kölcsönök visszatérülésére államháztartáson kívülről</t>
  </si>
  <si>
    <t>D/I/8 Költségvetési évben esedékes követelések finanszírozási bevételekre (&gt;=D/I/8a+…+D/I/8g)</t>
  </si>
  <si>
    <t>D/I/8a - ebből: költségvetési évben esedékes követelések forgatási célú belföldi értékpapírok beváltásából, értékesítéséből</t>
  </si>
  <si>
    <t>D/I/8c - ebből: költségvetési évben esedékes követelések államháztartáson belüli megelőlegezések törlesztésére</t>
  </si>
  <si>
    <t>D/I/8d - ebből: költségvetési évben esedékes követelések hosszú lejáratú tulajdonosi kölcsönök bevételeire</t>
  </si>
  <si>
    <t>D/I/8e - ebből: költségvetési évben esedékes követelések rövid lejáratú tulajdonosi kölcsönök bevételeire</t>
  </si>
  <si>
    <t>D/I/8f - ebből: költségvetési évben esedékes követelések forgatási célú külföldi értékpapírok beváltásából, értékesítéséből</t>
  </si>
  <si>
    <t>D/I/8g - ebből: költségvetési évben esedékes követelések befektetési célú külföldi értékpapírok beváltásából, értékesítéséből</t>
  </si>
  <si>
    <t>D/I Költségvetési évben esedékes követelések (=D/I/1+…+D/I/8)</t>
  </si>
  <si>
    <t>D/II/1 Költségvetési évet követően esedékes követelések működési célú támogatások bevételeire államháztartáson belülről (&gt;=D/II/1a)</t>
  </si>
  <si>
    <t>D/II/1a - ebből: költségvetési évet követően esedékes követelések működési célú visszatérítendő támogatások, kölcsönök visszatérülésére államháztartáson belülről</t>
  </si>
  <si>
    <t>D/II/2 Költségvetési évet követően esedékes követelések felhalmozási célú támogatások bevételeire államháztartáson belülről (&gt;=D/II/2a)</t>
  </si>
  <si>
    <t>D/II/2a - ebből: költségvetési évet követően esedékes követelések felhalmozási célú visszatérítendő támogatások, kölcsönök visszatérülésére államháztartáson belülről</t>
  </si>
  <si>
    <t>D/II/3 Költségvetési évet követően esedékes követelések közhatalmi bevételre (=D/II/3a+…+D/II/3f)</t>
  </si>
  <si>
    <t>D/II/3a - ebből: költségvetési évet követően esedékes követelések jövedelemadókra</t>
  </si>
  <si>
    <t>D/II/3b - ebből: költségvetési évet követően esedékes követelések szociális hozzájárulási adóra és járulékokra</t>
  </si>
  <si>
    <t>D/II/3c - ebből: költségvetési évet követően esedékes követelések bérhez és foglalkoztatáshoz kapcsolódó adókra</t>
  </si>
  <si>
    <t>D/II/3d - ebből: költségvetési évet követően esedékes követelések vagyoni típusú adókra</t>
  </si>
  <si>
    <t>D/II/3e - ebből: költségvetési évet követően esedékes követelések termékek és szolgáltatások adóira</t>
  </si>
  <si>
    <t>D/II/3f - ebből: költségvetési évet követően esedékes követelések egyéb közhatalmi bevételekre</t>
  </si>
  <si>
    <t>D/II/4 Költségvetési évet követően esedékes követelések működési bevételre (=D/II/4a+…+D/II/4i)</t>
  </si>
  <si>
    <t>D/II/4a - ebből: költségvetési évet követően esedékes követelések készletértékesítés ellenértékére, szolgáltatások ellenértékére, közvetített szolgáltatások ellenértékére</t>
  </si>
  <si>
    <t>D/II/4b - ebből: költségvetési évet követően esedékes követelések tulajdonosi bevételekre</t>
  </si>
  <si>
    <t>D/II/4c - ebből: költségvetési évet követően esedékes követelések ellátási díjakra</t>
  </si>
  <si>
    <t>D/II/4d - ebből: költségvetési évet követően esedékes követelések kiszámlázott általános forgalmi adóra</t>
  </si>
  <si>
    <t>D/II/4e - ebből: költségvetési évet követően esedékes követelések általános forgalmi adó visszatérítésére</t>
  </si>
  <si>
    <t>D/II/4f - ebből: költségvetési évet követően esedékes követelések kamatbevételekre és más nyereségjellegű bevételekre</t>
  </si>
  <si>
    <t>D/II/4g - ebből: költségvetési évet követően esedékes követelések egyéb pénzügyi műveletek bevételeire</t>
  </si>
  <si>
    <t>D/II/4h - ebből: költségvetési évet követően esedékes követelések biztosító által fizetett kártérítésre</t>
  </si>
  <si>
    <t>D/II/4i - ebből: költségvetési évet követően esedékes követelések egyéb működési bevételekre</t>
  </si>
  <si>
    <t>D/II/5 Költségvetési évet követően esedékes követelések felhalmozási bevételre (=D/II/5a+…+D/II/5e)</t>
  </si>
  <si>
    <t>D/II/5a - ebből: költségvetési évet követően esedékes követelések immateriális javak értékesítésére</t>
  </si>
  <si>
    <t>D/II/5b - ebből: költségvetési évet követően esedékes követelések ingatlanok értékesítésére</t>
  </si>
  <si>
    <t>D/II/5c - ebből: költségvetési évet követően esedékes követelések egyéb tárgyi eszközök értékesítésére</t>
  </si>
  <si>
    <t>D/II/5d - ebből: költségvetési évet követően esedékes követelések részesedések értékesítésére</t>
  </si>
  <si>
    <t>D/II/5e - ebből: költségvetési évet követően esedékes követelések részesedések megszűnéséhez kapcsolódó bevételekre</t>
  </si>
  <si>
    <t>D/II/6 Költségvetési évet követően esedékes követelések működési célú átvett pénzeszközre (&gt;=D/II/6a+D/II/6b+D/II/6c)</t>
  </si>
  <si>
    <t>D/II/6a - ebből: költségvetési évet követően esedékes követelések működési célú visszatérítendő támogatások, kölcsönök visszatérülése az Európai Uniótól</t>
  </si>
  <si>
    <t>D/II/6b - ebből: költségvetési évet követően esedékes követelések működési célú visszatérítendő támogatások, kölcsönök visszatérülése kormányoktól és más nemzetközi szervezetektől</t>
  </si>
  <si>
    <t>D/II/6c - ebből: költségvetési évet követően esedékes követelések működési célú visszatérítendő támogatások, kölcsönök visszatérülésére államháztartáson kívülről</t>
  </si>
  <si>
    <t>D/II/7 Költségvetési évet követően esedékes követelések felhalmozási célú átvett pénzeszközre (&gt;=D/II/7a+D/II/7b+D/II/7c)</t>
  </si>
  <si>
    <t>D/II/7a - ebből: költségvetési évet követően esedékes követelések felhalmozási célú visszatérítendő támogatások, kölcsönök visszatérülése az Európai Uniótól</t>
  </si>
  <si>
    <t>D/II/7b - ebből: költségvetési évet követően esedékes követelések felhalmozási célú visszatérítendő támogatások, kölcsönök visszatérülése kormányoktól és más nemzetközi szervezetektől</t>
  </si>
  <si>
    <t>D/II/7c - ebből: költségvetési évet követően esedékes követelések felhalmozási célú visszatérítendő támogatások, kölcsönök visszatérülésére államháztartáson kívülről</t>
  </si>
  <si>
    <t>D/II/8 Költségvetési évet követően esedékes követelések finanszírozási bevételekre (=D/II/8a+D/II/8b+D/II/8c+D/II/8d)</t>
  </si>
  <si>
    <t>D/II8a - ebből: költségvetési évet követően esedékes követelések befektetési célú belföldi értékpapírok beváltásából, értékesítéséből</t>
  </si>
  <si>
    <t>D/II8b - ebből: költségvetési évet követően esedékes követelések államháztartáson belüli megelőlegezések törlesztésére</t>
  </si>
  <si>
    <t>D/II8c - ebből: költségvetési évet követően esedékes követelések hosszú lejáratú tulajdonosi kölcsönök bevételeire</t>
  </si>
  <si>
    <t>D/II8d - ebből: költségvetési évet követően esedékes követelések befektetési célú külföldi értékpapírok beváltásából, értékesítéséből</t>
  </si>
  <si>
    <t>D/II Költségvetési évet követően esedékes követelések (=D/II/1+…+D/II/8)</t>
  </si>
  <si>
    <t>D/III/1 Adott előlegek (=D/III/1a+…+D/III/1f)</t>
  </si>
  <si>
    <t>D/III/1a - ebből: immateriális javakra adott előlegek</t>
  </si>
  <si>
    <t>D/III/1b - ebből: beruházásokra, felújításokra adott előlegek</t>
  </si>
  <si>
    <t>D/III/1c - ebből: készletekre adott előlegek</t>
  </si>
  <si>
    <t>D/III/1d - ebből: igénybe vett szolgáltatásra adott előlegek</t>
  </si>
  <si>
    <t>D/III/1e - ebből: foglalkoztatottaknak adott előlegek</t>
  </si>
  <si>
    <t>D/III/1f - ebből: túlfizetések, téves és visszajáró kifizetések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</si>
  <si>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</si>
  <si>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</si>
  <si>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</si>
  <si>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</si>
  <si>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</si>
  <si>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</si>
  <si>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D/III/8 Részesedésszerzés esetén átadott eszközök</t>
  </si>
  <si>
    <t>D/III/9 Letétre, megőrzésre, fedezetkezelésre átadott pénzeszközök, biztosítékok</t>
  </si>
  <si>
    <t>D/III Követelés jellegű sajátos elszámolások (=D/III/1+…+D/III/9)</t>
  </si>
  <si>
    <t>D) KÖVETELÉSEK  (=D/I+D/II+D/III)</t>
  </si>
  <si>
    <t>E/I/1 Adott előleghez kapcsolódó előzetesen felszámított levonható általános forgalmi adó</t>
  </si>
  <si>
    <t>E/I/2 Más előzetesen felszámított levonható általános forgalmi adó</t>
  </si>
  <si>
    <t>E/I/3 Adott előleghez kapcsolódó előzetesen felszámított nem levonható általános forgalmi adó</t>
  </si>
  <si>
    <t>E/I/4 Más előzetesen felszámított nem levonható általános forgalmi adó</t>
  </si>
  <si>
    <t>E/I Előzetesen felszámított általános forgalmi adó elszámolása (=E/I/1+…+E/I/4)</t>
  </si>
  <si>
    <t>E/II/1 Kapott előleghez kapcsolódó fizetendő általános forgalmi adó</t>
  </si>
  <si>
    <t>E/II/2 Más fizetendő általános forgalmi adó</t>
  </si>
  <si>
    <t>E/II Fizetendő általános forgalmi adó elszámolása (=E/II/1+E/II/2)</t>
  </si>
  <si>
    <t>E/III/1 December havi illetmények, munkabérek elszámolása</t>
  </si>
  <si>
    <t>E/III/2 Utalványok, bérletek és más hasonló, készpénz-helyettesítő fizetési eszköznek nem minősülő eszközök elszámolásai</t>
  </si>
  <si>
    <t>E/III/3 Pénzeszközök átvezetési számla</t>
  </si>
  <si>
    <t>E/III/4 Azonosítás alatt álló tételek</t>
  </si>
  <si>
    <t>E/III Egyéb sajátos eszközoldali elszámolások (=E/III/1+…+E/III/4)</t>
  </si>
  <si>
    <t>E) EGYÉB SAJÁTOS ESZKÖZOLDALI  ELSZÁMOLÁSOK (=E/I+E/II+E/III)</t>
  </si>
  <si>
    <t>F/1  Eredményszemléletű bevételek aktív időbeli elhatárolása</t>
  </si>
  <si>
    <t>F/2 Költségek, ráfordítások aktív időbeli elhatárolása</t>
  </si>
  <si>
    <t>F/3 Halasztott ráfordítások</t>
  </si>
  <si>
    <t>F) AKTÍV IDŐBELI  ELHATÁROLÁSOK  (=F/1+F/2+F/3)</t>
  </si>
  <si>
    <t>ESZKÖZÖK ÖSSZESEN (=A+B+C+D+E+F)</t>
  </si>
  <si>
    <t>D/I/8b - ebből: költségvetési évben esedékes követelések befektetési célú belföldi értékpapírok beváltásából, 
értékesítéséből</t>
  </si>
  <si>
    <t>FORRÁSOK</t>
  </si>
  <si>
    <t>G/I  Nemzeti vagyon induláskori értéke</t>
  </si>
  <si>
    <t>G/II Nemzeti vagyon változásai</t>
  </si>
  <si>
    <t>G/III/1 Megszűnés miatt átvett lekötött betétek könyv szerinti értéke és változása</t>
  </si>
  <si>
    <t>G/III/2 Megszűnés miatt átvett egyéb pénzeszközök könyv szerinti értéke és változása</t>
  </si>
  <si>
    <t>G/III/3 Pénzeszközön kívüli egyéb eszközök induláskori értéke és változásai</t>
  </si>
  <si>
    <t>G/III Egyéb eszközök induláskori értéke és változásai (=G/III/1+G/III/2+/G/III/3)</t>
  </si>
  <si>
    <t>G/IV Felhalmozott eredmény</t>
  </si>
  <si>
    <t>G/V Eszközök értékhelyesbítésének forrása</t>
  </si>
  <si>
    <t>G/VI Mérleg szerinti eredmény</t>
  </si>
  <si>
    <t>G) SAJÁT TŐKE  (= G/I+…+G/VI)</t>
  </si>
  <si>
    <t>H/I/1 Költségvetési évben esedékes kötelezettségek személyi juttatásokra</t>
  </si>
  <si>
    <t>H/I/2 Költségvetési évben esedékes kötelezettségek munkaadókat terhelő járulékokra és szociális hozzájárulási adóra</t>
  </si>
  <si>
    <t>H/I/3 Költségvetési évben esedékes kötelezettségek dologi kiadásokra</t>
  </si>
  <si>
    <t>H/I/4 Költségvetési évben esedékes kötelezettségek ellátottak pénzbeli juttatásaira</t>
  </si>
  <si>
    <t>H/I/5 Költségvetési évben esedékes kötelezettségek egyéb működési célú kiadásokra (&gt;=H/I/5a+H/I/5b)</t>
  </si>
  <si>
    <t>H/I/5b - ebből: költségvetési évben esedékes kötelezettségek működési célú támogatásokra az Európai Uniónak</t>
  </si>
  <si>
    <t>H/I/6 Költségvetési évben esedékes kötelezettségek beruházásokra</t>
  </si>
  <si>
    <t>H/I/7 Költségvetési évben esedékes kötelezettségek felújításokra</t>
  </si>
  <si>
    <t>H/I/8 Költségvetési évben esedékes kötelezettségek egyéb felhalmozási célú kiadásokra (&gt;=H/I/8a+H/I/8b)</t>
  </si>
  <si>
    <t>H/I/8b - ebből: költségvetési évben esedékes kötelezettségek felhalmozási célú támogatásokra az Európai Uniónak</t>
  </si>
  <si>
    <t>H/I/9 Költségvetési évben esedékes kötelezettségek finanszírozási kiadásokra (&gt;=H/I/9a+…+H/I/9m)</t>
  </si>
  <si>
    <t>H/I/9c - ebből: költségvetési évben esedékes kötelezettségek kincstárjegyek beváltására</t>
  </si>
  <si>
    <t>H/I/9d - ebből: költségvetési évben esedékes kötelezettségek éven belüli lejáratú belföldi értékpapírok beváltására</t>
  </si>
  <si>
    <t>H/I/9e - ebből: költségvetési évben esedékes kötelezettségek belföldi kötvények beváltására</t>
  </si>
  <si>
    <t>H/I/9f - ebből: költségvetési évben esedékes kötelezettségek éven túli lejáratú belföldi értékpapírok beváltására</t>
  </si>
  <si>
    <t>H/I/9g - ebből: költségvetési évben esedékes kötelezettségek államháztartáson belüli megelőlegezések visszafizetésére</t>
  </si>
  <si>
    <t>H/I/9h - ebből: költségvetési évben esedékes kötelezettségek pénzügyi lízing kiadásaira</t>
  </si>
  <si>
    <t>H/I/9i - ebből: költségvetési évben esedékes kötelezettségek külföldi értékpapírok beváltására</t>
  </si>
  <si>
    <t>H/I/9k - ebből: költségvetési évben esedékes kötelezettségek hitelek, kölcsönök törlesztésére külföldi pénzintézeteknek</t>
  </si>
  <si>
    <t>H/I/9l - ebből: költségvetési évben esedékes kötelezettségek váltókiadásokra</t>
  </si>
  <si>
    <t>H/I Költségvetési évben esedékes kötelezettségek (=H/I/1+…+H/I/9)</t>
  </si>
  <si>
    <t>H/II/1 Költségvetési évet követően esedékes kötelezettségek személyi juttatásokra</t>
  </si>
  <si>
    <t>H/II/2 Költségvetési évet követően esedékes kötelezettségek munkaadókat terhelő járulékokra és szociális hozzájárulási adóra</t>
  </si>
  <si>
    <t>H/II/3 Költségvetési évet követően esedékes kötelezettségek dologi kiadásokra</t>
  </si>
  <si>
    <t>H/II/4 Költségvetési évet követően esedékes kötelezettségek ellátottak pénzbeli juttatásaira</t>
  </si>
  <si>
    <t>H/II/5 Költségvetési évet követően esedékes kötelezettségek egyéb működési célú kiadásokra (&gt;=H/II/5a+H/II/5b)</t>
  </si>
  <si>
    <t>H/II/5b - ebből: költségvetési évet követően esedékes kötelezettségek működési célú támogatásokra az Európai Uniónak</t>
  </si>
  <si>
    <t>H/II/6 Költségvetési évet követően esedékes kötelezettségek beruházásokra</t>
  </si>
  <si>
    <t>H/II/7 Költségvetési évet követően esedékes kötelezettségek felújításokra</t>
  </si>
  <si>
    <t>H/II/8 Költségvetési évet követően esedékes kötelezettségek egyéb felhalmozási célú kiadásokra (&gt;=H/II/8a+H/II/8b)</t>
  </si>
  <si>
    <t>H/II/8b - ebből: költségvetési évet követően esedékes kötelezettségek felhalmozási célú támogatásokra az Európai Uniónak</t>
  </si>
  <si>
    <t>H/II/9 Költségvetési évet követően esedékes kötelezettségek finanszírozási kiadásokra (=&gt;H/II/9a+…+H/II/9j)</t>
  </si>
  <si>
    <t>H/II/9b - ebből: költségvetési évet követően esedékes kötelezettségek kincstárjegyek beváltására</t>
  </si>
  <si>
    <t>H/II/9c - ebből: költségvetési évet követően esedékes kötelezettségek belföldi kötvények beváltására</t>
  </si>
  <si>
    <t>H/II/9d - ebből: költségvetési évet követően esedékes kötelezettségek éven túli lejáratú belföldi értékpapírok beváltására</t>
  </si>
  <si>
    <t>H/II/9f - ebből: költségvetési évet követően esedékes kötelezettségek pénzügyi lízing kiadásaira</t>
  </si>
  <si>
    <t>H/II/9g - ebből: költségvetési évet követően esedékes kötelezettségek külföldi értékpapírok beváltására</t>
  </si>
  <si>
    <t>H/II/9j - ebből: költségvetési évet követően esedékes kötelezettségek váltókiadásokra</t>
  </si>
  <si>
    <t>H/II Költségvetési évet követően esedékes kötelezettségek (=H/II/1+…+H/II/9)</t>
  </si>
  <si>
    <t>H/III/1 Kapott előlegek</t>
  </si>
  <si>
    <t>H/III/2 Továbbadási célból folyósított támogatások, ellátások elszámolása</t>
  </si>
  <si>
    <t>H/III/3 Más szervezetet megillető bevételek elszámolása</t>
  </si>
  <si>
    <t>H/III/4 Forgótőke elszámolása (Kincstár)</t>
  </si>
  <si>
    <t>H/III/5 Nemzeti vagyonba tartozó befektetett eszközökkel kapcsolatos egyes kötelezettség jellegű sajátos elszámolások</t>
  </si>
  <si>
    <t>H/III/6 Nem társadalombiztosítás pénzügyi alapjait terhelő kifizetett ellátások megtérítésének elszámolása</t>
  </si>
  <si>
    <t>H/III/7 Munkáltató által korengedményes nyugdíjhoz megfizetett hozzájárulás elszámolása</t>
  </si>
  <si>
    <t>H/III/8 Letétre, megőrzésre, fedezetkezelésre átvett pénzeszközök, biztosítékok</t>
  </si>
  <si>
    <t>H/III/9 Nemzetközi támogatási programok pénzeszközei</t>
  </si>
  <si>
    <t>H/III/10 Államadósság Kezelő Központ Zrt.-nél elhelyezett fedezeti betétek</t>
  </si>
  <si>
    <t>H/III Kötelezettség jellegű sajátos elszámolások (=H/III/1+…+H/III/10)</t>
  </si>
  <si>
    <t>H) KÖTELEZETTSÉGEK (=H/I+H/II+H/III)</t>
  </si>
  <si>
    <t xml:space="preserve">I) KINCSTÁRI SZÁMLAVEZETÉSSEL KAPCSOLATOS ELSZÁMOLÁSOK </t>
  </si>
  <si>
    <t>J/1 Eredményszemléletű bevételek passzív időbeli elhatárolása</t>
  </si>
  <si>
    <t>J/2 Költségek, ráfordítások passzív időbeli elhatárolása</t>
  </si>
  <si>
    <t>J/3 Halasztott eredményszemléletű bevételek</t>
  </si>
  <si>
    <t>J) PASSZÍV IDŐBELI ELHATÁROLÁSOK (=J/1+J/2+J/3)</t>
  </si>
  <si>
    <t>FORRÁSOK ÖSSZESEN (=G+H+I+J)</t>
  </si>
  <si>
    <t>H/I/5a - ebből: költségvetési évben esedékes kötelezettségek működési célú visszatérítendő támogatások,
kölcsönök törlesztésére államháztartáson belülre</t>
  </si>
  <si>
    <t>H/I/8a - ebből: költségvetési évben esedékes kötelezettségek felhalmozási célú visszatérítendő támogatások, kölcsönök
törlesztésére államháztartáson belülre</t>
  </si>
  <si>
    <t>H/I/9a - ebből: költségvetési évben esedékes kötelezettségek hosszú lejáratú hitelek, kölcsönök törlesztésére pénzügyi
vállalkozásnak</t>
  </si>
  <si>
    <t>H/I/9b - ebből: költségvetési évben esedékes kötelezettségek rövid lejáratú hitelek, kölcsönök törlesztésére pénzügyi
vállalkozásnak</t>
  </si>
  <si>
    <t>H/I/9j - ebből: költségvetési évben esedékes kötelezettségek hitelek, kölcsönök törlesztésére külföldi kormányoknak és
nemzetközi szervezeteknek</t>
  </si>
  <si>
    <t>H/I/9m - ebből: költségvetési évben esedékes kötelezettségek likviditási célú hitelek, kölcsönök törlesztésére pénzügyi
vállalkozásnak</t>
  </si>
  <si>
    <t>H/II/5a - ebből: költségvetési évet követően esedékes kötelezettségek működési célú visszatérítendő támogatások,
kölcsönök törlesztésére államháztartáson belülre</t>
  </si>
  <si>
    <t>H/II/8a - ebből: költségvetési évet követően esedékes kötelezettségek felhalmozási célú visszatérítendő támogatások,
kölcsönök törlesztésére államháztartáson belülre</t>
  </si>
  <si>
    <t>H/II/9a - ebből: költségvetési évet követően esedékes kötelezettségek hosszú lejáratú hitelek, kölcsönök törlesztésére
pénzügyi vállalkozásnak</t>
  </si>
  <si>
    <t>H/II/9e - ebből: költségvetési évet követően esedékes kötelezettségek államháztartáson belüli megelőlegezések
visszafizetésére</t>
  </si>
  <si>
    <t>H/II/9h - ebből: költségvetési évet követően esedékes kötelezettségek hitelek, kölcsönök törlesztésére külföldi kormányoknak
és nemzetközi szervezeteknek</t>
  </si>
  <si>
    <t>H/II/9i - ebből: költségvetési évet követően esedékes kötelezettségek külföldi hitelek, kölcsönök törlesztésére külföldi
pénzintézeteknek</t>
  </si>
  <si>
    <t>Ügyintézők foglalkoztatására átadott pénzeszköz</t>
  </si>
  <si>
    <t>Házi orvosi ügyeleti ellátás (UNIMEDKER Kft.)</t>
  </si>
  <si>
    <t>a ......./2018. (  ) sz. zárszámadású határozathoz
 a Komlói Kistérség Többcélú Önkormányzati Társulás
 2017. évi tényleges kiadásainak és bevételeinek településenkénti megoszlása</t>
  </si>
  <si>
    <t>104042</t>
  </si>
  <si>
    <t xml:space="preserve">Felhalmozási célú kiadás </t>
  </si>
  <si>
    <t>Beruházás</t>
  </si>
  <si>
    <t>2.1.2</t>
  </si>
  <si>
    <t>2.1.3</t>
  </si>
  <si>
    <t>2.1.5</t>
  </si>
  <si>
    <t>2.1.6</t>
  </si>
  <si>
    <t>2.2.1</t>
  </si>
  <si>
    <t>GESZ pénzeszközátadás</t>
  </si>
  <si>
    <t>Tadíj befizetés Társulásnak</t>
  </si>
  <si>
    <t>Gyepmesteri teendők ellátására fizetendő hozzájárulás</t>
  </si>
  <si>
    <t>Házi orvosi  ügyelet ellátására  fizetendő hozzájárulás</t>
  </si>
  <si>
    <t>Komló. Tér.Integrált. Szoc. Szolgáltató Központ működési hozzájárulás</t>
  </si>
  <si>
    <t>Komló Térs. Családsegítő és Gyermekjóléti szolgálat működési hozzájárulás</t>
  </si>
  <si>
    <t>K.K.T.Ö.T Szilvási Bölcsőde működési hozzájárulás</t>
  </si>
  <si>
    <t>2.3.3.1.</t>
  </si>
  <si>
    <t>2.3.3.2.</t>
  </si>
  <si>
    <t>2.3.3.3.</t>
  </si>
  <si>
    <t xml:space="preserve">Működési célú támogatások államháztartáson belülről </t>
  </si>
  <si>
    <t>Gyepmesteri teendő ellátására fizetendő hozzájárulás</t>
  </si>
  <si>
    <t>Házi orvosi ügyelet ellátására fizetetendő hozzájárulás</t>
  </si>
  <si>
    <t xml:space="preserve">Működési bevételek </t>
  </si>
  <si>
    <t>GESZ péneszközátadás</t>
  </si>
  <si>
    <t>ebből: közvetített szolgáltatások ellenértéke ÁHT belülre</t>
  </si>
  <si>
    <t>ebből: közvetített szolgáltatások ellenértéke ÁHT kivülre</t>
  </si>
  <si>
    <t>ebből: tárgyi eszköz bérbeadásából származó bevétel</t>
  </si>
  <si>
    <t>TOP-4.2.1-15 BA1-2016-00004</t>
  </si>
  <si>
    <t>Jelzőrendszeres</t>
  </si>
  <si>
    <t>2.3.4</t>
  </si>
  <si>
    <t>Szászvári Hársvirág Óvoda és Egységes Óvoda-Bölcsőde (leégett tornafelszerelés, mozgásfejlesztő eszközök beszerzése)</t>
  </si>
  <si>
    <t xml:space="preserve">Intézmény finanszírozás (halmozódás) </t>
  </si>
  <si>
    <t xml:space="preserve">Egyéb működési célú támogatás áht.-n belülről  </t>
  </si>
  <si>
    <t>ebből: egyéb különféle működési bevételek</t>
  </si>
  <si>
    <t>EFOP1.5.2-1600028</t>
  </si>
  <si>
    <t>Iskolai szociális munka</t>
  </si>
  <si>
    <t>Demens betegek ellátása</t>
  </si>
  <si>
    <t>074031</t>
  </si>
  <si>
    <t>DOLOGI KIADÁSOK (K3)</t>
  </si>
  <si>
    <t>MUNKAADÓI JÁRULÉKOK (K2)</t>
  </si>
  <si>
    <t>SZEMÉLYI JUTTATÁSOK (K1)</t>
  </si>
  <si>
    <t>BERUHÁZÁSOK (K6)</t>
  </si>
  <si>
    <t>FELÚJÍTÁSOK (K7)</t>
  </si>
  <si>
    <t>Ellátottak pénzbeli juttatásai (K4)</t>
  </si>
  <si>
    <t>INTÉZMÉNYI MŰKÖDÉSI BEVÉTELEK (B4)</t>
  </si>
  <si>
    <t xml:space="preserve"> FELHALMOZÁSI CÉLÚ BEVÉTELEK (B5)</t>
  </si>
  <si>
    <t>Felhalmozási célú bevételek</t>
  </si>
  <si>
    <t>Kp-i irányító szervi felhalmozási kiadások</t>
  </si>
  <si>
    <t>Kp-i irányító szervi működési kiadások</t>
  </si>
  <si>
    <t>Ellátottak pénzbeli juttatásai</t>
  </si>
  <si>
    <t>Felhalmozási bevételek</t>
  </si>
  <si>
    <t>45.</t>
  </si>
  <si>
    <t>Aktív és passzív pénzügyi műveletek egyenlege (41-23)</t>
  </si>
  <si>
    <t>Költségvetési bevételek és kiadások különbsége (40-21)</t>
  </si>
  <si>
    <t>K.K.T.Ö.T Szilvási Bölcsőde</t>
  </si>
  <si>
    <t>2.1.3.1</t>
  </si>
  <si>
    <t>2.1.4</t>
  </si>
  <si>
    <t>1.1.1</t>
  </si>
  <si>
    <t>1.1.2</t>
  </si>
  <si>
    <t>1.1.3</t>
  </si>
  <si>
    <t>1.1.4</t>
  </si>
  <si>
    <t>1.1.5</t>
  </si>
  <si>
    <t>1.2.1</t>
  </si>
  <si>
    <t>Előző évi felhalmozási költségvetési maradvány igénybevétele</t>
  </si>
  <si>
    <t>Előző évi költségvetési maradvány igénybevétele</t>
  </si>
  <si>
    <t>Jelzőrendszeres támogatás</t>
  </si>
  <si>
    <t>Intézményi felhalmozási bevételek</t>
  </si>
  <si>
    <t>XV.</t>
  </si>
  <si>
    <t>A finanszírozás szempontjából elismert szakmai dolgozók bértámogatása: felsőfokú végzettségű kisgyermeknevelők, szaktanácsadók</t>
  </si>
  <si>
    <t>A finanszírozás szempontjából elismert szakmai dolgozók bértámogatása: középfokú végzettségű kisgyermeknevelők, szaktanácsadók</t>
  </si>
  <si>
    <t>Demens szem.nappali int.ell.</t>
  </si>
  <si>
    <t>+10 %</t>
  </si>
  <si>
    <t>Bölcsödei üzemeltetés</t>
  </si>
  <si>
    <t>Tagdíj befizetés Társulásnak</t>
  </si>
  <si>
    <t>Előirányzat</t>
  </si>
  <si>
    <t>Előző évi működési költségvetési maradványának igénybevétele</t>
  </si>
  <si>
    <t>Előző évi felhalmozási költségvetési maradványának igénybevétele</t>
  </si>
  <si>
    <t>Felhalmozási saját bevétel</t>
  </si>
  <si>
    <t xml:space="preserve">     </t>
  </si>
  <si>
    <t>Komló város fel nem használt tagdij visszafizetése</t>
  </si>
  <si>
    <t>1.3.1</t>
  </si>
  <si>
    <t>1.3.2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</si>
  <si>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</si>
  <si>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</si>
  <si>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</si>
  <si>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</si>
  <si>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</si>
  <si>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</si>
  <si>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</si>
  <si>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</si>
  <si>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</si>
  <si>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</si>
  <si>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</si>
  <si>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</si>
  <si>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</si>
  <si>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</si>
  <si>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</si>
  <si>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</si>
  <si>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</si>
  <si>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</si>
  <si>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2.1.3.2</t>
  </si>
  <si>
    <t xml:space="preserve">Komló Térségi Integrált Családsegítő és Gyermekjóléti Szolgálat </t>
  </si>
  <si>
    <t>Komlói Kistérség Többcélú Önkormányzati Társulás</t>
  </si>
  <si>
    <t>2.1.4.1</t>
  </si>
  <si>
    <t>2.2.1.</t>
  </si>
  <si>
    <t>2.2.1.1</t>
  </si>
  <si>
    <t>Intézményfinanszírozás</t>
  </si>
  <si>
    <t xml:space="preserve">Egyéb felhalmozási célú tám. értékű kiadások </t>
  </si>
  <si>
    <t>Komló Térségi Integrált Családsegítő és Gyermekjóléti Szolgálat</t>
  </si>
  <si>
    <t>2.3.1</t>
  </si>
  <si>
    <t>2.3.2</t>
  </si>
  <si>
    <t>Egyéb felhalmozási célú tám. értékű kiadások</t>
  </si>
  <si>
    <t>VIII:</t>
  </si>
  <si>
    <t>XVI.</t>
  </si>
  <si>
    <t>107013</t>
  </si>
  <si>
    <t>EFOP-2.2.3.-17-2017-00050 Hajléktalanok életminőségének javitása Komlón</t>
  </si>
  <si>
    <t>Sásd</t>
  </si>
  <si>
    <t>Demens személyek nappali intézményi ellátása - Társulás által történő feladatellátás</t>
  </si>
  <si>
    <t>EFOP-2.2.3-17-2017-00050 Hajléktalanok életmin.jav.és önálló életvit.előseg. Komlón</t>
  </si>
  <si>
    <t>Komló Térségi Integrált Családsegítő és Gyermekjóléti Szolgálat- EFOP 1.5.2-16-2017-00028</t>
  </si>
  <si>
    <t>Helyi önk-i befizetés</t>
  </si>
  <si>
    <t>Egyéb felhalmozási célú tám. Áht-n belülről</t>
  </si>
  <si>
    <t>Fogyasztóvédelem pénzeszközátadás</t>
  </si>
  <si>
    <t>Komló Térségi Integrált Családsegítő és Gyermekjóléti Szolgálat -Klímaberendezés</t>
  </si>
  <si>
    <t>Kormányhivatal bértámogatása</t>
  </si>
  <si>
    <t>2.3.2.1.</t>
  </si>
  <si>
    <t>2.3.2.2.</t>
  </si>
  <si>
    <t>Helyi önkormányzatok befizetései</t>
  </si>
  <si>
    <t>2.3.3.4.</t>
  </si>
  <si>
    <t>2.3.3.5.</t>
  </si>
  <si>
    <t>2.3.3.6.</t>
  </si>
  <si>
    <t>Komló Térs. Családsegítő és Gyermekjóléti Szolgálat működési hozzájárulás</t>
  </si>
  <si>
    <t>2.3.3.7.</t>
  </si>
  <si>
    <t>K.K.T.Ö.T. Szilvási Bölcsőde működési hozzájárulás</t>
  </si>
  <si>
    <t>2.3.4.</t>
  </si>
  <si>
    <t>3.1.1.</t>
  </si>
  <si>
    <t>3.2.2.</t>
  </si>
  <si>
    <t>Gyepmesteri teendők támogatása</t>
  </si>
  <si>
    <t>Komló. Tér.Integrált. Szoc. Szolgáltató Központ felhalmozási hozzájárulás</t>
  </si>
  <si>
    <t>Komló Térs. Családsegítő és Gyermekjóléti szolgálat felhalmozási hozzájárulás</t>
  </si>
  <si>
    <t>K.K.T.Ö.T Szilvási Bölcsőde felhalmozási hozzájárulás</t>
  </si>
  <si>
    <t>Komló Kistérség Többcélú Önkormányzati Társulás</t>
  </si>
  <si>
    <t xml:space="preserve"> ebből: TOP-4.2.1-15 BA1-2016-00004 pályázat</t>
  </si>
  <si>
    <t>Komló. Tér.Integrált. Szoc. Szolgáltató Központ</t>
  </si>
  <si>
    <t>3.1.2.</t>
  </si>
  <si>
    <t>3.1.4.</t>
  </si>
  <si>
    <t>3.1.3.</t>
  </si>
  <si>
    <t>1.2.2.</t>
  </si>
  <si>
    <t>1.2.3.</t>
  </si>
  <si>
    <t>1.2.4.</t>
  </si>
  <si>
    <t>Felhalmozási célú hozzájárulás</t>
  </si>
  <si>
    <t>Működési célú hozzájárulás</t>
  </si>
  <si>
    <t>TOP-4.2.1-15-BA1-2016-00004 pályázat</t>
  </si>
  <si>
    <t>EFOP-1.5.2-16-00028 "Humán szolgáltatások fejesztése a Komlói járásban" Kincstári számla</t>
  </si>
  <si>
    <t xml:space="preserve">EFOP-1.5.2-16-00028 "Humán szolgáltatások fejesztése a Komlói járásban" </t>
  </si>
  <si>
    <t>EFOP-2.2.3-17-00050 "Hajléktalanok életminőségének jav. és önálló életv.előseg.Komlón" Kincstári számla</t>
  </si>
  <si>
    <t>TOP-4.2.1-15BA1-2016-00004 pályázat</t>
  </si>
  <si>
    <t>TÁMOGATÁS ÉRTÉKŰ MŰK. C. BEVÉTELEK (B16)</t>
  </si>
  <si>
    <t>TÁMOGATÁS ÉRTÉKŰ FELHALM. C. BEV. (B25)</t>
  </si>
  <si>
    <t xml:space="preserve">Egyéb felhalmozási célú tám.értékű kiadások </t>
  </si>
  <si>
    <t>a Társulás tagjainak hozzájárulása a Kistérségi Társulás Szociális Szolgáltató Központ Demens betegek ellátása 2021. évi működési kiadásaihoz</t>
  </si>
  <si>
    <t>Magyarhertelendi körjegyzőség összesen</t>
  </si>
  <si>
    <t>Városgondnokságnak átadott - Hűtőház építése</t>
  </si>
  <si>
    <t>4.2.</t>
  </si>
  <si>
    <t xml:space="preserve"> ebből: EFOP-2.2.3-17-00050 Hajléktalanok életminőségének jav. és önálló életv.előseg.Komlón</t>
  </si>
  <si>
    <t>ebből: költségek visszatérítése</t>
  </si>
  <si>
    <t>Intézményfinanszírozás (felhalmozási célú)</t>
  </si>
  <si>
    <t>Felhalmozási célú támogatásértékű kiadások</t>
  </si>
  <si>
    <t>Egyéb felhalmozási célú kiadások</t>
  </si>
  <si>
    <t>3.3.</t>
  </si>
  <si>
    <t>3.4.</t>
  </si>
  <si>
    <t>4</t>
  </si>
  <si>
    <t>4.1.1.</t>
  </si>
  <si>
    <t>4.1.2.</t>
  </si>
  <si>
    <t>4.1.3.</t>
  </si>
  <si>
    <t>4.1.4.</t>
  </si>
  <si>
    <t>4.2.1.</t>
  </si>
  <si>
    <t>4.2.2.</t>
  </si>
  <si>
    <t>4.2.3.</t>
  </si>
  <si>
    <t>4.2.4.</t>
  </si>
  <si>
    <t>3.4</t>
  </si>
  <si>
    <t xml:space="preserve">Szociális étkeztetés </t>
  </si>
  <si>
    <t>Szilvási Bölcsőde étkeztetés</t>
  </si>
  <si>
    <t>Szilvási Bölcsőde üzemeltetés</t>
  </si>
  <si>
    <t>A többi település esetében a normatíva különbözet a házi segítségnyújtás kormányzati funkción mutatható ki.</t>
  </si>
  <si>
    <t>EGYÉB MŰKÖDÉSI CÉLÚ KIADÁSOK   (K5)</t>
  </si>
  <si>
    <t>EGYÉB FELHALMOZÁSI CÉLÚ TÁMOGATÁS ÁHT-N BELÜLRŐL ( 84)</t>
  </si>
  <si>
    <t>KÖZPONTI ,IRÁNYÍTÓ SZERVI .FELHALM. KIAD (K 9)</t>
  </si>
  <si>
    <t>KÖZPONTI ,IRÁNYÍTÓ SZERVI .MŰKÖDÉSI. KIAD ( K9)</t>
  </si>
  <si>
    <t>ELŐZŐ ÉVI FELHALMOZÁSI PÉNZMARADVÁNY IGÉNYBEVÉTELE (B813)</t>
  </si>
  <si>
    <t>ELŐZŐ ÉVI MŰKÖDÉSI PÉNZMARADVÁNY IGÉNYBEVÉTELE (B813)</t>
  </si>
  <si>
    <t>TÁRSULÁSOK KÖLTSÉG. TÁMOGATÁSA (B816) MŰKÖDÉSI</t>
  </si>
  <si>
    <t>TÁRSULÁSOK KÖLTSÉG. TÁMOGATÁSA (B816) FELHALMOZÁSI</t>
  </si>
  <si>
    <t>Mutatószám</t>
  </si>
  <si>
    <t>a …………/2022. (      ) sz. zárszámadású határozathoz</t>
  </si>
  <si>
    <t>a Komlói Kistérség Többcélú Önkormányzati Társulás normatív támogatásának jogcímenkénti alakulása 2021-ben</t>
  </si>
  <si>
    <t>a Komló Térségi Integrált Szociális Szolgáltató Központ kiegészítő normatívájának alakulása 2021-ben</t>
  </si>
  <si>
    <t>a Komló Térségi Családsegítő és Gyermekjóléti Szolgálat, és a Komló Térségi Integrált Szociális Szolgáltató Központ alapnormatívájának alakulása 2021-ben</t>
  </si>
  <si>
    <t>a Komlói Kistérség Többcélú Önkormányzati Társulás Szilvási Bölcsőde normatívájának alakulása a 2021-ben</t>
  </si>
  <si>
    <t>a Komlói Kistérség Többcélú Önkormányzati Társulás normatívájának alakulása a 2021-ben</t>
  </si>
  <si>
    <t>2021. december 31-ig a Társulás számlájára érkező összeg</t>
  </si>
  <si>
    <t>1.3.2.1.</t>
  </si>
  <si>
    <t>1.3.2.2.</t>
  </si>
  <si>
    <t>1.3.2.3.1.</t>
  </si>
  <si>
    <t>1.3.2.4.1.</t>
  </si>
  <si>
    <t>Szociális segítség</t>
  </si>
  <si>
    <t>Személyi gondozás-társulás által történő feladatellátás</t>
  </si>
  <si>
    <t>1.3.2.4.3.</t>
  </si>
  <si>
    <t>1.3.2.8.2.</t>
  </si>
  <si>
    <t>1.3.2.6.2.</t>
  </si>
  <si>
    <t>1.3.2.13.5.</t>
  </si>
  <si>
    <t>1.3.3.1.1.</t>
  </si>
  <si>
    <t>1.3.3.1.2.</t>
  </si>
  <si>
    <t>1.3.3.2.</t>
  </si>
  <si>
    <t>B1131</t>
  </si>
  <si>
    <t>Települési önkormányzatok szociális és gyermekjóléti feladatainak támogatása</t>
  </si>
  <si>
    <t>B1132</t>
  </si>
  <si>
    <t>Települési önkormányzatok gyermekétkeztetési feladatainak támogatása</t>
  </si>
  <si>
    <t>1.4.1.1.</t>
  </si>
  <si>
    <t>1.4.1.2.</t>
  </si>
  <si>
    <t>Személyi gondozás</t>
  </si>
  <si>
    <t>Család- és gyermekjóléti szolgálat támogatása</t>
  </si>
  <si>
    <t>73 fő X          67 570 Ft</t>
  </si>
  <si>
    <t>Szociális segítés</t>
  </si>
  <si>
    <t>56 x 25 000 Ft</t>
  </si>
  <si>
    <t>254 fő x 378 110 Ft</t>
  </si>
  <si>
    <t>30 fő x 224 190 Ft</t>
  </si>
  <si>
    <t>10 fő x 746 546 Ft</t>
  </si>
  <si>
    <t xml:space="preserve"> 21 fő X        618 280 Ft</t>
  </si>
  <si>
    <t>4 fő</t>
  </si>
  <si>
    <t>8,1 fő</t>
  </si>
  <si>
    <t>Demens szem.nappali intézm.ellátása</t>
  </si>
  <si>
    <t>a Társulás tagjainak hozzájárulása a Kistérségi Társulás Családsegítő és Gyermekjóléti Szolgálat 2021. évi működési és felhalmozási kiadásaihoz</t>
  </si>
  <si>
    <t>a Társulás tagjainak hozzájárulása a Kistérségi Társulás Szilvási Bölcsőde 2021. évi működési és felhalmozási kiadásaihoz</t>
  </si>
  <si>
    <t>a Társulás tagdíj hozzájárulása a Kistérségi Társulás 2021. évi működési kiadásaihoz</t>
  </si>
  <si>
    <t>a Társulás gyepmesteri hozzájárulása a Kistérségi Társulás 2021. évi működési és felhalmozási kiadásaihoz</t>
  </si>
  <si>
    <t>a Társulás házi orvosi ügyelet ellátása a Kistérségi Társulás 2021. évi működési kiadásaihoz</t>
  </si>
  <si>
    <t>a Társulás tagjainak hozzájárulása a Kistérségi Társulás Szociális Szolgáltató Központ házi segítségnyújtás 2021. évi működési és felhalmozási kiadásaihoz</t>
  </si>
  <si>
    <t>a Társulás tagjainak hozzájárulása a Kistérségi Társulás Szociális Szolgáltató Központ jelzőrendszeres házi segítségnyújtás 2021. évi működési kiadásaihoz</t>
  </si>
  <si>
    <t>a Társulás tagjainak hozzájárulása a Kistérségi Társulás Szociális Szolgáltató Központ szociális étkeztetés 2021. évi működési kiadásaihoz</t>
  </si>
  <si>
    <t>a Társulás tagjainak hozzájárulása a Kistérségi Társulás Szociális Szolgáltató Központ Idősek Klubja 2021. évi működési kiadásaihoz</t>
  </si>
  <si>
    <t>a Társulás tagjainak hozzájárulása a Kistérségi Társulás Szociális Szolgáltató Központ Hajléktalanok ellátása 2021. évi működési kiadásaihoz</t>
  </si>
  <si>
    <t>a Társulás tagjainak hozzájárulása a Kistérségi Társulás Szociális Szolgáltató Központ 2021. évi működési és felhalmozási kiadásaihoz</t>
  </si>
  <si>
    <t>a Társulás által adott közvetett támogatások 2021-ban</t>
  </si>
  <si>
    <t>Szászvár 2020. évi tartozása</t>
  </si>
  <si>
    <t>az adósság állomány alakulása lejárat, eszközök, bel- és külföldi hitelezők szerinti bontásban 2021. december 31-én</t>
  </si>
  <si>
    <t>a Komlói Kistérség Többcélú Önkormányzati Társulás vagyonmérlege 2021.12.31-én</t>
  </si>
  <si>
    <t>a Komlói Kistérség Többcélú Önkormányzati Társulás eredménykimutatása 2021. évben</t>
  </si>
  <si>
    <t>a Komlói Kistérség Többcélú Önkormányzati Társulás maradványkimutatása 2021. évben</t>
  </si>
  <si>
    <t>a Komlói Kistérség Többcélú Önkormányzati Társulás pénzeszköz változásának kimutatása a 2021. évben</t>
  </si>
  <si>
    <t xml:space="preserve">a Komlói Kistérség Többcélú Önkormányzati Társulás 2021. évi kiadásainak fő előirányzatonkénti és intézményenkénti megoszlása </t>
  </si>
  <si>
    <t xml:space="preserve">A Komlói Kistérség Többcélú Önkormányzati Társulás 2021. évi bevételeinek fő előirányzatonkénti és intézményenkénti megoszlása </t>
  </si>
  <si>
    <t>a ......./2022. (  ) sz. zárszámadású határozathoz
 a Komlói Kistérség Többcélú Önkormányzati Társulás
 2021. évi tényleges kiadásainak és bevételeinek megoszlása</t>
  </si>
  <si>
    <t>a ......./2022. (  ) sz. zárszámadású határozathoz
 a Komlói Kistérség Többcélú Önkormányzati Társulás
 2021. évi tényleges kiadásainak és bevételeinek településenkénti megoszlása</t>
  </si>
  <si>
    <t>a …………/2022. (   ) sz. zárszámadású határozathoz</t>
  </si>
  <si>
    <t xml:space="preserve"> a Komlói Kistérség Többcélú Önkormányzati Társulás 2021. évi </t>
  </si>
  <si>
    <t xml:space="preserve">2021. évi felhalmozási kiadásai teljeítésének alalkulása </t>
  </si>
  <si>
    <t>Bankszámla záróegyenlege (2021.12.31.)</t>
  </si>
  <si>
    <t>Központi, irányító szervi működési támogatás folyósítása</t>
  </si>
  <si>
    <t>Központi, irányító szervi felhalmozási támogatás folyósítása</t>
  </si>
  <si>
    <t>Támogatás értékű felhalmozási célú bevétel</t>
  </si>
  <si>
    <t xml:space="preserve">Támogatás értékű működési célú bevétel </t>
  </si>
  <si>
    <t xml:space="preserve">Működési bevétel </t>
  </si>
  <si>
    <t>Támogatás értékű működési célú bevétel</t>
  </si>
  <si>
    <t>a Komlói Kistérség Többcélú Önkormányzati Társulás 2021. évi bevételei és kiadásai</t>
  </si>
  <si>
    <t>2020. évi zárszámadás normatíva</t>
  </si>
  <si>
    <t>Óvodai és iskolai szociális segítő tevékenység támogatása</t>
  </si>
  <si>
    <t>3.3.3.7.</t>
  </si>
  <si>
    <t>2.3.3.8.</t>
  </si>
  <si>
    <t>2.3.5</t>
  </si>
  <si>
    <t xml:space="preserve">Szászvár mikroközpont támogatása </t>
  </si>
  <si>
    <t>2.3.6</t>
  </si>
  <si>
    <t>Háziorvosi ügyeleti ellátás REKI támogatása</t>
  </si>
  <si>
    <t>3.2.3</t>
  </si>
  <si>
    <t>3.2.4.</t>
  </si>
  <si>
    <t>Támogatások (felhalmozási célú)</t>
  </si>
  <si>
    <t>3.3.1</t>
  </si>
  <si>
    <t>Központosított támogatás - Óvodai és iskolai szociális segítő tevékenység támogatása</t>
  </si>
  <si>
    <t>4.1.5</t>
  </si>
  <si>
    <t>Technikai átcsoportosítás működési célú maradvány emelése a felhalmozási c. maradvány terhére</t>
  </si>
  <si>
    <t>1.4.6</t>
  </si>
  <si>
    <t>Szászvár mikroközpont működtetési támogatása</t>
  </si>
  <si>
    <t>1.4.7.</t>
  </si>
  <si>
    <t xml:space="preserve">Bérkompenzáció rendezendő összege </t>
  </si>
  <si>
    <t>1.4.8</t>
  </si>
  <si>
    <t>Tűz- és munkavédelmi feldataok ellátására átadott pénzeszköz</t>
  </si>
  <si>
    <t>1.4.9</t>
  </si>
  <si>
    <t xml:space="preserve">2020. évi jelzőrendszeres támogatás visszafizetése </t>
  </si>
  <si>
    <t>1.4.10</t>
  </si>
  <si>
    <t>1.4.11</t>
  </si>
  <si>
    <t xml:space="preserve">Háziorvosi ügyeleti ellátás REKI támogatása </t>
  </si>
  <si>
    <t>1.4.12</t>
  </si>
  <si>
    <t>1.5.</t>
  </si>
  <si>
    <t>2021. évi költségvetésének alakulásáról</t>
  </si>
  <si>
    <t>2.3.3.7</t>
  </si>
  <si>
    <t>3.3</t>
  </si>
  <si>
    <t>3.3.1.</t>
  </si>
  <si>
    <t>4.2.5</t>
  </si>
  <si>
    <t>1.4.7</t>
  </si>
  <si>
    <t>Tűz- és munkavédelmi feladatok ellátására átadott pénzeszköz</t>
  </si>
  <si>
    <t>1.5</t>
  </si>
  <si>
    <t>a Komlói Kistérség Többcélú Önkormányzati Társulás 2021. évi mérlege</t>
  </si>
  <si>
    <t>a Komlói Kistérség Többcélú Önkormányzati Társulás 2021. évi működési célú bevételei és kiadásai</t>
  </si>
  <si>
    <t>Szászvár mikroközpont támogatása</t>
  </si>
  <si>
    <t>3.1.5</t>
  </si>
  <si>
    <t>2021. évi felhalmozási célú bevételei és kiadásai</t>
  </si>
  <si>
    <t>1.3</t>
  </si>
  <si>
    <t>Központosított támogatás  - Óvodai és iskolai szociális segítő tevékenység támogatása</t>
  </si>
  <si>
    <t>2.5</t>
  </si>
  <si>
    <t>Komló Térségi Integrált Szociális Szolgáltató Központ -Klímaberendezés, fénymásoló</t>
  </si>
  <si>
    <t>K.K.T.Ö.T Szilvási Bölcsőde - bölcsődei gyermekülőke, CD lejátszó</t>
  </si>
  <si>
    <t>a Komlói Kistérség Többcélú Önkormányzati Társulás 2021. évi bevételei forrásonként</t>
  </si>
  <si>
    <t>1.1</t>
  </si>
  <si>
    <t>3.2.1</t>
  </si>
  <si>
    <t xml:space="preserve">4. </t>
  </si>
  <si>
    <t>4.2.2</t>
  </si>
  <si>
    <t>a ………../2022. (   ) sz. zárszámadású határozathoz</t>
  </si>
  <si>
    <t>2021. évi kiadási előirányzata és teljesítése</t>
  </si>
  <si>
    <t>2021. évi bevételi előirányzata és teljesítése</t>
  </si>
  <si>
    <t>A Komlói Kistérség Többcélú Önkormányzati Társulásnak 2020. december 31-én nem volt adósság állomány 0 Ft.</t>
  </si>
  <si>
    <t>Városgondnokságnak átadott</t>
  </si>
  <si>
    <t>4.2.4</t>
  </si>
  <si>
    <t>1.2.1.</t>
  </si>
  <si>
    <t>3.1.3</t>
  </si>
  <si>
    <t>1.2</t>
  </si>
  <si>
    <t>Társulások költségvetési támogatása (működési)</t>
  </si>
  <si>
    <t>Társulások költségvetési támogatása (felhalmozási)</t>
  </si>
  <si>
    <t>Társulások költségvetési tám. (műk.c.)</t>
  </si>
  <si>
    <t>Társulások költségvetési tám. (felhalm.c.)</t>
  </si>
  <si>
    <t>46.</t>
  </si>
  <si>
    <t>Finanszírozási (felhalm.c.) bevételek összesen</t>
  </si>
  <si>
    <t>Finanszírozási (műk.c.) bevételek összesen</t>
  </si>
  <si>
    <t>K.K.T.Ö.T - EFOP-1.5.2-16-2017-00028 Humán szolgáltatások fejesztése a Komlói járásban</t>
  </si>
  <si>
    <t>Komló Térségi Integrált Családsegítő és Gyermekjóléti Szolgálat- EFOP 1.5.2-16-2017-00028 Humán szolgáltatások fejesztése a Komlói járásban</t>
  </si>
  <si>
    <t xml:space="preserve"> ebből: EFOP-1.5.2-16-2017-00028 Humán szolgáltatások fejesztése a Komlói járásban</t>
  </si>
  <si>
    <t>K. K. T. Ö. T-EFOP-1.5.2-16-2017-00028 Humán szolgáltatások fejesztése a Komlói járásban</t>
  </si>
  <si>
    <t>Maradvány visszavizetése  EFOP-2.2.3-17-2017-00050 Hajléktalanok életminőségének jav. és önálló életv.előseg.Komlón</t>
  </si>
  <si>
    <t>Komló Térségi Integrált Családsegítő és Gyermekjóléti Szolgálat- EFOP-1.5.2-16-2017-00028 Humán szolgáltatások fejesztése a Komlói járásban</t>
  </si>
  <si>
    <t xml:space="preserve">K. K. T. Ö. T-EFOP-1.5.2-16-2017-00028 Humán szolgáltatások fejesztése a Komlói járásban </t>
  </si>
  <si>
    <t xml:space="preserve"> ebből: EFOP-2.2.3-17-2017-00050 Hajléktalanok életminőségének jav. és önálló életv.előseg.Komlón</t>
  </si>
  <si>
    <t>Komló Térségi Integrált Családs. és Gyermekj. Szolg. - EFOP 1.5.2-16-2017-00028 Humán szolgáltatások fejesztése a Komlói járásban</t>
  </si>
  <si>
    <t xml:space="preserve">Komló Térségi Integrált Családsegítő és Gyermekjóléti Szolgálat- EFOP-1.5.2-16-2017-000028 Humán szolgáltatások fejesztése a Komlói járásban </t>
  </si>
  <si>
    <t>K. K. T. Ö. T-EFOP-1.5.2-16-2017-000028 Humán szolgáltatások fejesztése a Komlói járásban</t>
  </si>
  <si>
    <t xml:space="preserve">K. K. T. Ö. T-EFOP-1.5.2-16-2017 -000028 Humán szolgáltatások fejesztése a Komlói járásban </t>
  </si>
  <si>
    <t>EFOP-1.5.2-16-2017-000028 Humán szolgáltatások fejlesztése a Komlói járásban</t>
  </si>
  <si>
    <t xml:space="preserve">K. K. T. Ö. T-EFOP-1.5.2-16-2017--00028 Humán szolgáltatások fejlesztése a Komlói járásban </t>
  </si>
  <si>
    <t>EFOP-1.5.2-16-2017-00028 Humán szolgáltatások fejlesztése a Komlói járásban</t>
  </si>
  <si>
    <t>EFOP1.5.2-16-2017-00028 Humán szolgáltatások fejlesztése a Komlói járásban</t>
  </si>
  <si>
    <t>EFOP-1.5.2-16-2017-00028 Humán szolgáltatások fejesztése a Komlói járásban</t>
  </si>
  <si>
    <r>
      <t xml:space="preserve">Ellátottak pénzbeli juttatásai </t>
    </r>
    <r>
      <rPr>
        <sz val="10"/>
        <rFont val="Arial CE"/>
        <charset val="238"/>
      </rPr>
      <t xml:space="preserve"> EFOP 1.5.2-16-2017-00028 Humán szolgáltatások fejesztése a Komlói járásban</t>
    </r>
  </si>
  <si>
    <r>
      <rPr>
        <b/>
        <i/>
        <sz val="10"/>
        <rFont val="Arial CE"/>
        <charset val="238"/>
      </rPr>
      <t xml:space="preserve">Ellátottak pénzbeli juttatásai </t>
    </r>
    <r>
      <rPr>
        <i/>
        <sz val="10"/>
        <rFont val="Arial CE"/>
        <charset val="238"/>
      </rPr>
      <t xml:space="preserve">EFOP-1.5.2-16-2017-000028 Humán szolgáltatások fejesztése a Komlói járásban </t>
    </r>
  </si>
  <si>
    <r>
      <t>Ellátottak pénzbeli juttatásai</t>
    </r>
    <r>
      <rPr>
        <b/>
        <i/>
        <sz val="10"/>
        <rFont val="Arial CE"/>
        <charset val="238"/>
      </rPr>
      <t xml:space="preserve"> - </t>
    </r>
    <r>
      <rPr>
        <i/>
        <sz val="10"/>
        <rFont val="Arial CE"/>
        <charset val="238"/>
      </rPr>
      <t xml:space="preserve">EFOP-1.5.2-16-2017-000028 Humán szolgáltatások fejesztése a Komlói járásban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</si>
</sst>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Ft&quot;;[Red]\-#,##0\ &quot;Ft&quot;"/>
    <numFmt numFmtId="42" formatCode="_-* #,##0\ &quot;Ft&quot;_-;\-* #,##0\ &quot;Ft&quot;_-;_-* &quot;-&quot;\ &quot;Ft&quot;_-;_-@_-"/>
    <numFmt numFmtId="164" formatCode="_-* #,##0\ _F_t_-;\-* #,##0\ _F_t_-;_-* &quot;-&quot;\ _F_t_-;_-@_-"/>
    <numFmt numFmtId="165" formatCode="_-* #,##0.00\ _F_t_-;\-* #,##0.00\ _F_t_-;_-* &quot;-&quot;??\ _F_t_-;_-@_-"/>
    <numFmt numFmtId="166" formatCode="#,##0.0"/>
    <numFmt numFmtId="167" formatCode="0.0"/>
    <numFmt numFmtId="168" formatCode="#,###"/>
    <numFmt numFmtId="169" formatCode="#,##0\ &quot;Ft&quot;"/>
    <numFmt numFmtId="170" formatCode="_-* #,##0\ _F_t_-;\-* #,##0\ _F_t_-;_-* &quot;-&quot;??\ _F_t_-;_-@_-"/>
    <numFmt numFmtId="171" formatCode="#,##0_ ;\-#,##0\ "/>
    <numFmt numFmtId="172" formatCode="0.0000"/>
  </numFmts>
  <fonts count="7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 CE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i/>
      <sz val="12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9"/>
      <name val="Arial CE"/>
      <charset val="238"/>
    </font>
    <font>
      <sz val="10"/>
      <name val="Arial CE"/>
      <charset val="238"/>
    </font>
    <font>
      <b/>
      <sz val="9"/>
      <color indexed="8"/>
      <name val="Arial"/>
      <family val="2"/>
      <charset val="238"/>
    </font>
    <font>
      <b/>
      <i/>
      <sz val="12"/>
      <name val="Arial"/>
      <family val="2"/>
      <charset val="238"/>
    </font>
    <font>
      <i/>
      <sz val="9"/>
      <name val="Arial CE"/>
      <charset val="238"/>
    </font>
    <font>
      <sz val="10"/>
      <name val="Arial CE"/>
      <charset val="238"/>
    </font>
    <font>
      <b/>
      <sz val="12"/>
      <name val="Arial "/>
      <charset val="238"/>
    </font>
    <font>
      <sz val="10"/>
      <name val="Arial "/>
      <charset val="238"/>
    </font>
    <font>
      <b/>
      <sz val="8"/>
      <name val="Arial CE"/>
      <charset val="238"/>
    </font>
    <font>
      <b/>
      <sz val="10"/>
      <name val="Arial "/>
      <charset val="238"/>
    </font>
    <font>
      <b/>
      <sz val="11"/>
      <name val="Arial"/>
      <family val="2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Times New Roman"/>
      <family val="1"/>
      <charset val="238"/>
    </font>
    <font>
      <sz val="10"/>
      <color rgb="FFFF000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10"/>
      <color rgb="FF000000"/>
      <name val="Ariel ce"/>
      <charset val="238"/>
    </font>
    <font>
      <b/>
      <i/>
      <sz val="10"/>
      <name val="Arial"/>
      <family val="2"/>
      <charset val="238"/>
    </font>
    <font>
      <b/>
      <i/>
      <sz val="9"/>
      <name val="Arial CE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7" borderId="1" applyNumberFormat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16" borderId="5" applyNumberFormat="0" applyAlignment="0" applyProtection="0"/>
    <xf numFmtId="165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6" applyNumberFormat="0" applyFill="0" applyAlignment="0" applyProtection="0"/>
    <xf numFmtId="0" fontId="14" fillId="17" borderId="7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30" fillId="4" borderId="0" applyNumberFormat="0" applyBorder="0" applyAlignment="0" applyProtection="0"/>
    <xf numFmtId="0" fontId="31" fillId="22" borderId="8" applyNumberFormat="0" applyAlignment="0" applyProtection="0"/>
    <xf numFmtId="0" fontId="32" fillId="0" borderId="0" applyNumberFormat="0" applyFill="0" applyBorder="0" applyAlignment="0" applyProtection="0"/>
    <xf numFmtId="0" fontId="14" fillId="0" borderId="0"/>
    <xf numFmtId="0" fontId="37" fillId="0" borderId="0"/>
    <xf numFmtId="0" fontId="10" fillId="0" borderId="0"/>
    <xf numFmtId="0" fontId="10" fillId="0" borderId="0"/>
    <xf numFmtId="0" fontId="37" fillId="0" borderId="0"/>
    <xf numFmtId="0" fontId="13" fillId="0" borderId="0"/>
    <xf numFmtId="0" fontId="2" fillId="0" borderId="0"/>
    <xf numFmtId="0" fontId="14" fillId="0" borderId="0"/>
    <xf numFmtId="0" fontId="33" fillId="0" borderId="9" applyNumberFormat="0" applyFill="0" applyAlignment="0" applyProtection="0"/>
    <xf numFmtId="0" fontId="34" fillId="3" borderId="0" applyNumberFormat="0" applyBorder="0" applyAlignment="0" applyProtection="0"/>
    <xf numFmtId="0" fontId="35" fillId="23" borderId="0" applyNumberFormat="0" applyBorder="0" applyAlignment="0" applyProtection="0"/>
    <xf numFmtId="0" fontId="36" fillId="22" borderId="1" applyNumberFormat="0" applyAlignment="0" applyProtection="0"/>
    <xf numFmtId="165" fontId="2" fillId="0" borderId="0" applyFont="0" applyFill="0" applyBorder="0" applyAlignment="0" applyProtection="0"/>
    <xf numFmtId="0" fontId="10" fillId="17" borderId="7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</cellStyleXfs>
  <cellXfs count="964">
    <xf numFmtId="0" fontId="0" fillId="0" borderId="0" xfId="0"/>
    <xf numFmtId="49" fontId="0" fillId="0" borderId="0" xfId="0" applyNumberFormat="1"/>
    <xf numFmtId="0" fontId="4" fillId="0" borderId="0" xfId="0" applyFont="1"/>
    <xf numFmtId="0" fontId="0" fillId="0" borderId="10" xfId="0" applyBorder="1"/>
    <xf numFmtId="0" fontId="5" fillId="0" borderId="0" xfId="0" applyFont="1"/>
    <xf numFmtId="3" fontId="0" fillId="0" borderId="10" xfId="0" applyNumberFormat="1" applyBorder="1"/>
    <xf numFmtId="0" fontId="0" fillId="0" borderId="0" xfId="0" applyAlignment="1">
      <alignment horizontal="right"/>
    </xf>
    <xf numFmtId="0" fontId="5" fillId="0" borderId="10" xfId="0" applyFont="1" applyBorder="1"/>
    <xf numFmtId="3" fontId="5" fillId="0" borderId="10" xfId="0" applyNumberFormat="1" applyFont="1" applyBorder="1"/>
    <xf numFmtId="0" fontId="4" fillId="0" borderId="10" xfId="0" applyFont="1" applyBorder="1"/>
    <xf numFmtId="0" fontId="0" fillId="0" borderId="0" xfId="0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wrapText="1"/>
    </xf>
    <xf numFmtId="3" fontId="4" fillId="0" borderId="10" xfId="0" applyNumberFormat="1" applyFont="1" applyBorder="1"/>
    <xf numFmtId="0" fontId="0" fillId="0" borderId="0" xfId="0" applyAlignment="1">
      <alignment horizontal="center" vertical="center"/>
    </xf>
    <xf numFmtId="3" fontId="0" fillId="0" borderId="10" xfId="0" quotePrefix="1" applyNumberFormat="1" applyBorder="1" applyAlignment="1">
      <alignment horizontal="center"/>
    </xf>
    <xf numFmtId="3" fontId="4" fillId="0" borderId="10" xfId="0" quotePrefix="1" applyNumberFormat="1" applyFont="1" applyBorder="1" applyAlignment="1">
      <alignment horizontal="center"/>
    </xf>
    <xf numFmtId="3" fontId="0" fillId="0" borderId="10" xfId="0" applyNumberForma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13" fillId="0" borderId="0" xfId="0" applyFont="1"/>
    <xf numFmtId="0" fontId="10" fillId="0" borderId="0" xfId="42"/>
    <xf numFmtId="0" fontId="10" fillId="24" borderId="0" xfId="42" applyFill="1"/>
    <xf numFmtId="0" fontId="2" fillId="0" borderId="0" xfId="0" applyFont="1"/>
    <xf numFmtId="0" fontId="2" fillId="0" borderId="10" xfId="45" applyBorder="1"/>
    <xf numFmtId="3" fontId="2" fillId="0" borderId="10" xfId="45" applyNumberFormat="1" applyBorder="1"/>
    <xf numFmtId="3" fontId="7" fillId="0" borderId="10" xfId="45" applyNumberFormat="1" applyFont="1" applyBorder="1"/>
    <xf numFmtId="167" fontId="2" fillId="0" borderId="10" xfId="45" applyNumberFormat="1" applyBorder="1"/>
    <xf numFmtId="167" fontId="7" fillId="0" borderId="10" xfId="45" applyNumberFormat="1" applyFont="1" applyBorder="1"/>
    <xf numFmtId="3" fontId="7" fillId="25" borderId="10" xfId="45" applyNumberFormat="1" applyFont="1" applyFill="1" applyBorder="1"/>
    <xf numFmtId="167" fontId="7" fillId="25" borderId="10" xfId="45" applyNumberFormat="1" applyFont="1" applyFill="1" applyBorder="1"/>
    <xf numFmtId="3" fontId="7" fillId="26" borderId="10" xfId="45" applyNumberFormat="1" applyFont="1" applyFill="1" applyBorder="1"/>
    <xf numFmtId="167" fontId="7" fillId="26" borderId="10" xfId="45" applyNumberFormat="1" applyFont="1" applyFill="1" applyBorder="1"/>
    <xf numFmtId="3" fontId="7" fillId="27" borderId="10" xfId="45" applyNumberFormat="1" applyFont="1" applyFill="1" applyBorder="1"/>
    <xf numFmtId="167" fontId="7" fillId="27" borderId="10" xfId="45" applyNumberFormat="1" applyFont="1" applyFill="1" applyBorder="1"/>
    <xf numFmtId="3" fontId="7" fillId="28" borderId="10" xfId="45" applyNumberFormat="1" applyFont="1" applyFill="1" applyBorder="1"/>
    <xf numFmtId="167" fontId="7" fillId="28" borderId="10" xfId="45" applyNumberFormat="1" applyFont="1" applyFill="1" applyBorder="1"/>
    <xf numFmtId="3" fontId="40" fillId="0" borderId="10" xfId="45" applyNumberFormat="1" applyFont="1" applyBorder="1"/>
    <xf numFmtId="167" fontId="40" fillId="0" borderId="10" xfId="45" applyNumberFormat="1" applyFont="1" applyBorder="1"/>
    <xf numFmtId="0" fontId="4" fillId="0" borderId="10" xfId="45" applyFont="1" applyBorder="1"/>
    <xf numFmtId="0" fontId="4" fillId="25" borderId="10" xfId="45" applyFont="1" applyFill="1" applyBorder="1"/>
    <xf numFmtId="0" fontId="7" fillId="0" borderId="10" xfId="45" applyFont="1" applyBorder="1"/>
    <xf numFmtId="0" fontId="7" fillId="26" borderId="10" xfId="45" applyFont="1" applyFill="1" applyBorder="1"/>
    <xf numFmtId="0" fontId="7" fillId="28" borderId="10" xfId="45" applyFont="1" applyFill="1" applyBorder="1"/>
    <xf numFmtId="0" fontId="7" fillId="27" borderId="10" xfId="45" applyFont="1" applyFill="1" applyBorder="1"/>
    <xf numFmtId="0" fontId="0" fillId="24" borderId="0" xfId="0" applyFill="1"/>
    <xf numFmtId="3" fontId="10" fillId="0" borderId="10" xfId="0" applyNumberFormat="1" applyFont="1" applyBorder="1" applyAlignment="1">
      <alignment horizontal="center" vertical="center"/>
    </xf>
    <xf numFmtId="169" fontId="10" fillId="0" borderId="10" xfId="0" applyNumberFormat="1" applyFont="1" applyBorder="1" applyAlignment="1">
      <alignment vertical="center"/>
    </xf>
    <xf numFmtId="169" fontId="10" fillId="24" borderId="10" xfId="0" applyNumberFormat="1" applyFont="1" applyFill="1" applyBorder="1" applyAlignment="1">
      <alignment vertical="center"/>
    </xf>
    <xf numFmtId="0" fontId="10" fillId="0" borderId="0" xfId="42" applyAlignment="1">
      <alignment vertical="center"/>
    </xf>
    <xf numFmtId="0" fontId="10" fillId="0" borderId="0" xfId="42" applyAlignment="1">
      <alignment horizontal="center" vertical="center"/>
    </xf>
    <xf numFmtId="169" fontId="7" fillId="0" borderId="10" xfId="0" applyNumberFormat="1" applyFont="1" applyBorder="1" applyAlignment="1">
      <alignment vertical="center"/>
    </xf>
    <xf numFmtId="0" fontId="9" fillId="0" borderId="0" xfId="42" applyFont="1" applyAlignment="1">
      <alignment vertical="center"/>
    </xf>
    <xf numFmtId="0" fontId="7" fillId="26" borderId="10" xfId="0" applyFont="1" applyFill="1" applyBorder="1" applyAlignment="1">
      <alignment horizontal="center" vertical="center"/>
    </xf>
    <xf numFmtId="0" fontId="7" fillId="25" borderId="10" xfId="0" applyFont="1" applyFill="1" applyBorder="1" applyAlignment="1">
      <alignment horizontal="center" vertical="center" wrapText="1"/>
    </xf>
    <xf numFmtId="0" fontId="9" fillId="0" borderId="0" xfId="42" applyFont="1"/>
    <xf numFmtId="0" fontId="0" fillId="24" borderId="0" xfId="0" applyFill="1" applyAlignment="1">
      <alignment vertical="center"/>
    </xf>
    <xf numFmtId="0" fontId="7" fillId="24" borderId="0" xfId="0" applyFont="1" applyFill="1" applyAlignment="1">
      <alignment vertical="center"/>
    </xf>
    <xf numFmtId="0" fontId="7" fillId="24" borderId="0" xfId="0" applyFont="1" applyFill="1"/>
    <xf numFmtId="0" fontId="9" fillId="24" borderId="0" xfId="42" applyFont="1" applyFill="1"/>
    <xf numFmtId="0" fontId="10" fillId="24" borderId="0" xfId="42" applyFill="1" applyAlignment="1">
      <alignment vertical="center"/>
    </xf>
    <xf numFmtId="0" fontId="10" fillId="24" borderId="0" xfId="42" applyFill="1" applyAlignment="1">
      <alignment horizontal="center" vertical="center"/>
    </xf>
    <xf numFmtId="0" fontId="9" fillId="24" borderId="0" xfId="42" applyFont="1" applyFill="1" applyAlignment="1">
      <alignment vertical="center"/>
    </xf>
    <xf numFmtId="0" fontId="49" fillId="24" borderId="0" xfId="0" applyFont="1" applyFill="1"/>
    <xf numFmtId="0" fontId="50" fillId="24" borderId="0" xfId="42" applyFont="1" applyFill="1"/>
    <xf numFmtId="0" fontId="50" fillId="0" borderId="0" xfId="42" applyFont="1"/>
    <xf numFmtId="3" fontId="13" fillId="0" borderId="10" xfId="0" applyNumberFormat="1" applyFont="1" applyBorder="1" applyAlignment="1">
      <alignment vertical="center"/>
    </xf>
    <xf numFmtId="0" fontId="51" fillId="0" borderId="10" xfId="0" applyFont="1" applyBorder="1" applyAlignment="1">
      <alignment vertical="center"/>
    </xf>
    <xf numFmtId="3" fontId="9" fillId="0" borderId="10" xfId="42" applyNumberFormat="1" applyFont="1" applyBorder="1" applyAlignment="1">
      <alignment vertical="center"/>
    </xf>
    <xf numFmtId="3" fontId="7" fillId="0" borderId="10" xfId="0" applyNumberFormat="1" applyFont="1" applyBorder="1" applyAlignment="1">
      <alignment vertical="center"/>
    </xf>
    <xf numFmtId="3" fontId="10" fillId="0" borderId="10" xfId="0" applyNumberFormat="1" applyFont="1" applyBorder="1" applyAlignment="1">
      <alignment vertical="center"/>
    </xf>
    <xf numFmtId="3" fontId="18" fillId="0" borderId="10" xfId="0" applyNumberFormat="1" applyFont="1" applyBorder="1" applyAlignment="1">
      <alignment vertical="center"/>
    </xf>
    <xf numFmtId="0" fontId="51" fillId="0" borderId="10" xfId="0" applyFont="1" applyBorder="1" applyAlignment="1">
      <alignment horizontal="center" vertical="center"/>
    </xf>
    <xf numFmtId="0" fontId="51" fillId="0" borderId="12" xfId="0" applyFont="1" applyBorder="1" applyAlignment="1">
      <alignment horizontal="center" vertical="center"/>
    </xf>
    <xf numFmtId="0" fontId="51" fillId="0" borderId="12" xfId="0" applyFont="1" applyBorder="1" applyAlignment="1">
      <alignment vertical="center"/>
    </xf>
    <xf numFmtId="0" fontId="47" fillId="24" borderId="0" xfId="0" applyFont="1" applyFill="1"/>
    <xf numFmtId="0" fontId="10" fillId="24" borderId="0" xfId="0" applyFont="1" applyFill="1"/>
    <xf numFmtId="0" fontId="53" fillId="0" borderId="10" xfId="0" applyFont="1" applyBorder="1" applyAlignment="1">
      <alignment vertical="center"/>
    </xf>
    <xf numFmtId="0" fontId="51" fillId="25" borderId="10" xfId="0" applyFont="1" applyFill="1" applyBorder="1" applyAlignment="1">
      <alignment horizontal="center" vertical="center" wrapText="1"/>
    </xf>
    <xf numFmtId="0" fontId="54" fillId="24" borderId="0" xfId="0" applyFont="1" applyFill="1" applyAlignment="1">
      <alignment vertical="center"/>
    </xf>
    <xf numFmtId="0" fontId="47" fillId="24" borderId="0" xfId="0" applyFont="1" applyFill="1" applyAlignment="1">
      <alignment vertical="center"/>
    </xf>
    <xf numFmtId="0" fontId="9" fillId="24" borderId="0" xfId="39" applyFont="1" applyFill="1" applyAlignment="1">
      <alignment vertical="center"/>
    </xf>
    <xf numFmtId="0" fontId="14" fillId="24" borderId="0" xfId="39" applyFill="1" applyAlignment="1">
      <alignment vertical="center"/>
    </xf>
    <xf numFmtId="3" fontId="0" fillId="24" borderId="0" xfId="0" applyNumberFormat="1" applyFill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42" fillId="24" borderId="0" xfId="0" applyFont="1" applyFill="1" applyAlignment="1">
      <alignment vertical="center"/>
    </xf>
    <xf numFmtId="167" fontId="0" fillId="0" borderId="0" xfId="0" applyNumberFormat="1" applyAlignment="1">
      <alignment horizontal="right"/>
    </xf>
    <xf numFmtId="0" fontId="4" fillId="0" borderId="14" xfId="0" applyFont="1" applyBorder="1" applyAlignment="1">
      <alignment vertical="center"/>
    </xf>
    <xf numFmtId="3" fontId="4" fillId="0" borderId="10" xfId="0" applyNumberFormat="1" applyFont="1" applyBorder="1" applyAlignment="1">
      <alignment horizontal="right" vertical="center"/>
    </xf>
    <xf numFmtId="167" fontId="4" fillId="0" borderId="10" xfId="0" applyNumberFormat="1" applyFont="1" applyBorder="1" applyAlignment="1">
      <alignment horizontal="right" vertical="center"/>
    </xf>
    <xf numFmtId="0" fontId="4" fillId="24" borderId="0" xfId="0" applyFont="1" applyFill="1"/>
    <xf numFmtId="0" fontId="4" fillId="24" borderId="0" xfId="0" applyFont="1" applyFill="1" applyAlignment="1">
      <alignment vertical="center"/>
    </xf>
    <xf numFmtId="0" fontId="0" fillId="24" borderId="0" xfId="0" applyFill="1" applyAlignment="1">
      <alignment horizontal="right"/>
    </xf>
    <xf numFmtId="0" fontId="5" fillId="24" borderId="0" xfId="0" applyFont="1" applyFill="1"/>
    <xf numFmtId="0" fontId="45" fillId="0" borderId="0" xfId="0" applyFont="1"/>
    <xf numFmtId="0" fontId="52" fillId="0" borderId="0" xfId="0" applyFont="1"/>
    <xf numFmtId="0" fontId="13" fillId="0" borderId="10" xfId="0" applyFont="1" applyBorder="1" applyAlignment="1" applyProtection="1">
      <alignment vertical="center" wrapText="1"/>
      <protection locked="0"/>
    </xf>
    <xf numFmtId="0" fontId="45" fillId="0" borderId="0" xfId="0" applyFont="1" applyAlignment="1">
      <alignment horizontal="left"/>
    </xf>
    <xf numFmtId="0" fontId="56" fillId="0" borderId="0" xfId="0" applyFont="1"/>
    <xf numFmtId="0" fontId="58" fillId="0" borderId="0" xfId="0" applyFont="1"/>
    <xf numFmtId="3" fontId="58" fillId="0" borderId="10" xfId="0" applyNumberFormat="1" applyFont="1" applyBorder="1" applyAlignment="1" applyProtection="1">
      <alignment horizontal="right" vertical="center" wrapText="1"/>
      <protection locked="0"/>
    </xf>
    <xf numFmtId="0" fontId="58" fillId="0" borderId="10" xfId="0" applyFont="1" applyBorder="1" applyAlignment="1" applyProtection="1">
      <alignment horizontal="left" vertical="center" wrapText="1" indent="1"/>
      <protection locked="0"/>
    </xf>
    <xf numFmtId="3" fontId="13" fillId="0" borderId="10" xfId="0" applyNumberFormat="1" applyFont="1" applyBorder="1"/>
    <xf numFmtId="3" fontId="6" fillId="0" borderId="10" xfId="0" applyNumberFormat="1" applyFont="1" applyBorder="1" applyAlignment="1">
      <alignment horizontal="right" vertical="center"/>
    </xf>
    <xf numFmtId="167" fontId="6" fillId="0" borderId="10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0" fontId="2" fillId="24" borderId="0" xfId="0" applyFont="1" applyFill="1"/>
    <xf numFmtId="49" fontId="0" fillId="24" borderId="0" xfId="0" applyNumberFormat="1" applyFill="1"/>
    <xf numFmtId="0" fontId="16" fillId="24" borderId="0" xfId="0" applyFont="1" applyFill="1"/>
    <xf numFmtId="0" fontId="3" fillId="24" borderId="0" xfId="0" applyFont="1" applyFill="1" applyAlignment="1">
      <alignment horizontal="center"/>
    </xf>
    <xf numFmtId="49" fontId="0" fillId="0" borderId="10" xfId="0" applyNumberFormat="1" applyBorder="1" applyAlignment="1">
      <alignment horizontal="center" vertical="center"/>
    </xf>
    <xf numFmtId="49" fontId="0" fillId="0" borderId="10" xfId="0" applyNumberForma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66" fontId="5" fillId="0" borderId="10" xfId="0" applyNumberFormat="1" applyFont="1" applyBorder="1" applyAlignment="1">
      <alignment vertical="center"/>
    </xf>
    <xf numFmtId="0" fontId="4" fillId="25" borderId="10" xfId="0" applyFont="1" applyFill="1" applyBorder="1" applyAlignment="1">
      <alignment vertical="center"/>
    </xf>
    <xf numFmtId="167" fontId="7" fillId="0" borderId="10" xfId="0" applyNumberFormat="1" applyFont="1" applyBorder="1" applyAlignment="1">
      <alignment vertical="center"/>
    </xf>
    <xf numFmtId="167" fontId="8" fillId="0" borderId="10" xfId="0" applyNumberFormat="1" applyFont="1" applyBorder="1" applyAlignment="1">
      <alignment vertical="center"/>
    </xf>
    <xf numFmtId="167" fontId="4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0" fontId="6" fillId="24" borderId="0" xfId="0" applyFont="1" applyFill="1" applyAlignment="1">
      <alignment vertical="center"/>
    </xf>
    <xf numFmtId="0" fontId="4" fillId="24" borderId="0" xfId="0" applyFont="1" applyFill="1" applyAlignment="1">
      <alignment horizontal="center"/>
    </xf>
    <xf numFmtId="167" fontId="7" fillId="25" borderId="10" xfId="0" applyNumberFormat="1" applyFont="1" applyFill="1" applyBorder="1" applyAlignment="1">
      <alignment horizontal="center" vertical="center" wrapText="1"/>
    </xf>
    <xf numFmtId="0" fontId="0" fillId="24" borderId="0" xfId="0" applyFill="1" applyAlignment="1">
      <alignment wrapText="1"/>
    </xf>
    <xf numFmtId="167" fontId="0" fillId="24" borderId="0" xfId="0" applyNumberFormat="1" applyFill="1" applyAlignment="1">
      <alignment horizontal="right"/>
    </xf>
    <xf numFmtId="3" fontId="0" fillId="0" borderId="0" xfId="0" applyNumberFormat="1" applyAlignment="1">
      <alignment vertical="center"/>
    </xf>
    <xf numFmtId="168" fontId="7" fillId="0" borderId="10" xfId="0" applyNumberFormat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7" fillId="26" borderId="10" xfId="0" applyFont="1" applyFill="1" applyBorder="1" applyAlignment="1">
      <alignment vertical="center" wrapText="1"/>
    </xf>
    <xf numFmtId="168" fontId="7" fillId="26" borderId="10" xfId="0" applyNumberFormat="1" applyFont="1" applyFill="1" applyBorder="1" applyAlignment="1" applyProtection="1">
      <alignment vertical="center"/>
      <protection locked="0"/>
    </xf>
    <xf numFmtId="168" fontId="7" fillId="26" borderId="10" xfId="0" applyNumberFormat="1" applyFont="1" applyFill="1" applyBorder="1" applyAlignment="1">
      <alignment vertical="center"/>
    </xf>
    <xf numFmtId="0" fontId="45" fillId="24" borderId="0" xfId="0" applyFont="1" applyFill="1"/>
    <xf numFmtId="0" fontId="13" fillId="24" borderId="0" xfId="0" applyFont="1" applyFill="1"/>
    <xf numFmtId="0" fontId="52" fillId="24" borderId="0" xfId="0" applyFont="1" applyFill="1"/>
    <xf numFmtId="0" fontId="41" fillId="24" borderId="0" xfId="0" applyFont="1" applyFill="1" applyAlignment="1">
      <alignment horizontal="center" wrapText="1"/>
    </xf>
    <xf numFmtId="0" fontId="41" fillId="24" borderId="0" xfId="0" applyFont="1" applyFill="1" applyAlignment="1">
      <alignment horizontal="center"/>
    </xf>
    <xf numFmtId="0" fontId="7" fillId="25" borderId="10" xfId="0" applyFont="1" applyFill="1" applyBorder="1" applyAlignment="1">
      <alignment vertical="center" wrapText="1"/>
    </xf>
    <xf numFmtId="0" fontId="41" fillId="24" borderId="0" xfId="0" applyFont="1" applyFill="1" applyAlignment="1">
      <alignment vertical="center" wrapText="1"/>
    </xf>
    <xf numFmtId="168" fontId="45" fillId="24" borderId="0" xfId="0" applyNumberFormat="1" applyFont="1" applyFill="1" applyAlignment="1">
      <alignment horizontal="left" vertical="center" wrapText="1"/>
    </xf>
    <xf numFmtId="0" fontId="51" fillId="24" borderId="0" xfId="0" applyFont="1" applyFill="1" applyAlignment="1">
      <alignment horizontal="center" vertical="center" wrapText="1"/>
    </xf>
    <xf numFmtId="3" fontId="43" fillId="24" borderId="0" xfId="0" quotePrefix="1" applyNumberFormat="1" applyFont="1" applyFill="1" applyAlignment="1" applyProtection="1">
      <alignment horizontal="right" vertical="center" wrapText="1"/>
      <protection locked="0"/>
    </xf>
    <xf numFmtId="0" fontId="45" fillId="24" borderId="0" xfId="0" applyFont="1" applyFill="1" applyAlignment="1">
      <alignment horizontal="left"/>
    </xf>
    <xf numFmtId="0" fontId="41" fillId="24" borderId="0" xfId="0" applyFont="1" applyFill="1" applyAlignment="1">
      <alignment horizontal="left" vertical="center" wrapText="1"/>
    </xf>
    <xf numFmtId="0" fontId="51" fillId="24" borderId="0" xfId="0" applyFont="1" applyFill="1" applyAlignment="1">
      <alignment horizontal="left" vertical="center" wrapText="1"/>
    </xf>
    <xf numFmtId="0" fontId="43" fillId="24" borderId="0" xfId="0" applyFont="1" applyFill="1" applyAlignment="1" applyProtection="1">
      <alignment horizontal="left" vertical="center" wrapText="1"/>
      <protection locked="0"/>
    </xf>
    <xf numFmtId="3" fontId="43" fillId="24" borderId="0" xfId="0" applyNumberFormat="1" applyFont="1" applyFill="1" applyAlignment="1" applyProtection="1">
      <alignment vertical="center" wrapText="1"/>
      <protection locked="0"/>
    </xf>
    <xf numFmtId="3" fontId="43" fillId="24" borderId="0" xfId="0" quotePrefix="1" applyNumberFormat="1" applyFont="1" applyFill="1" applyAlignment="1" applyProtection="1">
      <alignment vertical="center" wrapText="1"/>
      <protection locked="0"/>
    </xf>
    <xf numFmtId="3" fontId="41" fillId="24" borderId="0" xfId="0" applyNumberFormat="1" applyFont="1" applyFill="1" applyAlignment="1" applyProtection="1">
      <alignment vertical="center" wrapText="1"/>
      <protection locked="0"/>
    </xf>
    <xf numFmtId="0" fontId="56" fillId="24" borderId="0" xfId="0" applyFont="1" applyFill="1"/>
    <xf numFmtId="3" fontId="45" fillId="24" borderId="0" xfId="0" applyNumberFormat="1" applyFont="1" applyFill="1"/>
    <xf numFmtId="0" fontId="45" fillId="24" borderId="0" xfId="0" applyFont="1" applyFill="1" applyAlignment="1">
      <alignment horizontal="right"/>
    </xf>
    <xf numFmtId="0" fontId="45" fillId="0" borderId="0" xfId="0" applyFont="1" applyAlignment="1">
      <alignment horizontal="right"/>
    </xf>
    <xf numFmtId="0" fontId="60" fillId="25" borderId="10" xfId="0" applyFont="1" applyFill="1" applyBorder="1" applyAlignment="1">
      <alignment horizontal="center" vertical="center" wrapText="1"/>
    </xf>
    <xf numFmtId="0" fontId="58" fillId="24" borderId="0" xfId="0" applyFont="1" applyFill="1"/>
    <xf numFmtId="0" fontId="57" fillId="24" borderId="0" xfId="0" applyFont="1" applyFill="1" applyAlignment="1">
      <alignment horizontal="center" vertical="center" wrapText="1"/>
    </xf>
    <xf numFmtId="0" fontId="57" fillId="24" borderId="0" xfId="0" applyFont="1" applyFill="1" applyAlignment="1">
      <alignment vertical="center" wrapText="1"/>
    </xf>
    <xf numFmtId="0" fontId="41" fillId="0" borderId="0" xfId="0" applyFont="1"/>
    <xf numFmtId="0" fontId="41" fillId="24" borderId="0" xfId="0" applyFont="1" applyFill="1"/>
    <xf numFmtId="3" fontId="7" fillId="26" borderId="10" xfId="0" applyNumberFormat="1" applyFont="1" applyFill="1" applyBorder="1"/>
    <xf numFmtId="3" fontId="7" fillId="28" borderId="10" xfId="0" applyNumberFormat="1" applyFont="1" applyFill="1" applyBorder="1"/>
    <xf numFmtId="0" fontId="13" fillId="0" borderId="10" xfId="0" applyFont="1" applyBorder="1"/>
    <xf numFmtId="3" fontId="41" fillId="26" borderId="10" xfId="0" applyNumberFormat="1" applyFont="1" applyFill="1" applyBorder="1"/>
    <xf numFmtId="0" fontId="43" fillId="24" borderId="0" xfId="0" applyFont="1" applyFill="1"/>
    <xf numFmtId="0" fontId="43" fillId="0" borderId="0" xfId="0" applyFont="1"/>
    <xf numFmtId="3" fontId="41" fillId="25" borderId="10" xfId="0" applyNumberFormat="1" applyFont="1" applyFill="1" applyBorder="1"/>
    <xf numFmtId="3" fontId="41" fillId="28" borderId="10" xfId="0" applyNumberFormat="1" applyFont="1" applyFill="1" applyBorder="1"/>
    <xf numFmtId="3" fontId="41" fillId="27" borderId="10" xfId="0" applyNumberFormat="1" applyFont="1" applyFill="1" applyBorder="1"/>
    <xf numFmtId="3" fontId="41" fillId="0" borderId="10" xfId="0" applyNumberFormat="1" applyFont="1" applyBorder="1"/>
    <xf numFmtId="3" fontId="49" fillId="28" borderId="10" xfId="0" applyNumberFormat="1" applyFont="1" applyFill="1" applyBorder="1"/>
    <xf numFmtId="0" fontId="41" fillId="28" borderId="10" xfId="45" applyFont="1" applyFill="1" applyBorder="1" applyAlignment="1">
      <alignment horizontal="left"/>
    </xf>
    <xf numFmtId="3" fontId="40" fillId="25" borderId="10" xfId="0" applyNumberFormat="1" applyFont="1" applyFill="1" applyBorder="1" applyAlignment="1">
      <alignment vertical="center"/>
    </xf>
    <xf numFmtId="0" fontId="40" fillId="24" borderId="0" xfId="0" applyFont="1" applyFill="1"/>
    <xf numFmtId="0" fontId="40" fillId="0" borderId="0" xfId="0" applyFont="1"/>
    <xf numFmtId="166" fontId="40" fillId="25" borderId="10" xfId="0" applyNumberFormat="1" applyFont="1" applyFill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0" fontId="42" fillId="24" borderId="0" xfId="0" applyFont="1" applyFill="1" applyAlignment="1">
      <alignment horizontal="center" vertical="center"/>
    </xf>
    <xf numFmtId="0" fontId="7" fillId="0" borderId="10" xfId="45" applyFont="1" applyBorder="1" applyAlignment="1">
      <alignment horizontal="center" vertical="center" wrapText="1"/>
    </xf>
    <xf numFmtId="0" fontId="3" fillId="24" borderId="0" xfId="0" applyFont="1" applyFill="1"/>
    <xf numFmtId="0" fontId="3" fillId="0" borderId="0" xfId="0" applyFont="1"/>
    <xf numFmtId="0" fontId="7" fillId="24" borderId="0" xfId="0" applyFont="1" applyFill="1" applyAlignment="1">
      <alignment horizontal="center" vertical="center" wrapText="1"/>
    </xf>
    <xf numFmtId="0" fontId="41" fillId="25" borderId="10" xfId="0" applyFont="1" applyFill="1" applyBorder="1" applyAlignment="1">
      <alignment vertical="center"/>
    </xf>
    <xf numFmtId="3" fontId="41" fillId="25" borderId="10" xfId="0" applyNumberFormat="1" applyFont="1" applyFill="1" applyBorder="1" applyAlignment="1">
      <alignment vertical="center"/>
    </xf>
    <xf numFmtId="167" fontId="41" fillId="25" borderId="10" xfId="0" applyNumberFormat="1" applyFont="1" applyFill="1" applyBorder="1" applyAlignment="1">
      <alignment vertical="center"/>
    </xf>
    <xf numFmtId="167" fontId="40" fillId="25" borderId="10" xfId="0" applyNumberFormat="1" applyFont="1" applyFill="1" applyBorder="1" applyAlignment="1">
      <alignment vertical="center"/>
    </xf>
    <xf numFmtId="0" fontId="3" fillId="2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4" fillId="24" borderId="0" xfId="42" applyFont="1" applyFill="1"/>
    <xf numFmtId="0" fontId="44" fillId="0" borderId="0" xfId="42" applyFont="1"/>
    <xf numFmtId="3" fontId="41" fillId="25" borderId="10" xfId="0" applyNumberFormat="1" applyFont="1" applyFill="1" applyBorder="1" applyAlignment="1">
      <alignment horizontal="right" vertical="center"/>
    </xf>
    <xf numFmtId="167" fontId="41" fillId="25" borderId="10" xfId="0" applyNumberFormat="1" applyFont="1" applyFill="1" applyBorder="1" applyAlignment="1">
      <alignment horizontal="right" vertical="center"/>
    </xf>
    <xf numFmtId="0" fontId="7" fillId="24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41" fillId="24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0" fontId="41" fillId="25" borderId="10" xfId="0" applyFont="1" applyFill="1" applyBorder="1" applyAlignment="1">
      <alignment horizontal="center" vertical="center"/>
    </xf>
    <xf numFmtId="168" fontId="41" fillId="25" borderId="10" xfId="0" applyNumberFormat="1" applyFont="1" applyFill="1" applyBorder="1" applyAlignment="1">
      <alignment vertical="center"/>
    </xf>
    <xf numFmtId="0" fontId="41" fillId="25" borderId="10" xfId="0" applyFont="1" applyFill="1" applyBorder="1" applyAlignment="1">
      <alignment vertical="center" wrapText="1"/>
    </xf>
    <xf numFmtId="0" fontId="41" fillId="25" borderId="10" xfId="0" applyFont="1" applyFill="1" applyBorder="1" applyAlignment="1" applyProtection="1">
      <alignment vertical="center" wrapText="1"/>
      <protection locked="0"/>
    </xf>
    <xf numFmtId="3" fontId="41" fillId="25" borderId="10" xfId="0" applyNumberFormat="1" applyFont="1" applyFill="1" applyBorder="1" applyAlignment="1" applyProtection="1">
      <alignment vertical="center" wrapText="1"/>
      <protection locked="0"/>
    </xf>
    <xf numFmtId="0" fontId="41" fillId="25" borderId="10" xfId="0" applyFont="1" applyFill="1" applyBorder="1" applyAlignment="1">
      <alignment horizontal="center" vertical="center" wrapText="1"/>
    </xf>
    <xf numFmtId="168" fontId="41" fillId="25" borderId="10" xfId="0" applyNumberFormat="1" applyFont="1" applyFill="1" applyBorder="1" applyAlignment="1">
      <alignment horizontal="right" vertical="center" wrapText="1" indent="2"/>
    </xf>
    <xf numFmtId="0" fontId="38" fillId="30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2" fontId="0" fillId="0" borderId="10" xfId="0" applyNumberFormat="1" applyBorder="1"/>
    <xf numFmtId="0" fontId="10" fillId="33" borderId="10" xfId="0" applyFont="1" applyFill="1" applyBorder="1" applyAlignment="1">
      <alignment horizontal="center"/>
    </xf>
    <xf numFmtId="0" fontId="0" fillId="33" borderId="10" xfId="0" applyFill="1" applyBorder="1"/>
    <xf numFmtId="3" fontId="0" fillId="26" borderId="10" xfId="0" applyNumberFormat="1" applyFill="1" applyBorder="1"/>
    <xf numFmtId="2" fontId="0" fillId="26" borderId="10" xfId="0" applyNumberFormat="1" applyFill="1" applyBorder="1"/>
    <xf numFmtId="3" fontId="0" fillId="30" borderId="10" xfId="0" applyNumberFormat="1" applyFill="1" applyBorder="1"/>
    <xf numFmtId="2" fontId="0" fillId="30" borderId="10" xfId="0" applyNumberFormat="1" applyFill="1" applyBorder="1"/>
    <xf numFmtId="0" fontId="66" fillId="34" borderId="0" xfId="0" applyFont="1" applyFill="1" applyAlignment="1">
      <alignment horizontal="center"/>
    </xf>
    <xf numFmtId="0" fontId="66" fillId="34" borderId="0" xfId="0" applyFont="1" applyFill="1" applyAlignment="1">
      <alignment vertical="center"/>
    </xf>
    <xf numFmtId="3" fontId="66" fillId="34" borderId="0" xfId="0" applyNumberFormat="1" applyFont="1" applyFill="1"/>
    <xf numFmtId="2" fontId="66" fillId="34" borderId="0" xfId="0" applyNumberFormat="1" applyFont="1" applyFill="1"/>
    <xf numFmtId="2" fontId="66" fillId="34" borderId="0" xfId="0" applyNumberFormat="1" applyFont="1" applyFill="1" applyAlignment="1">
      <alignment vertical="center"/>
    </xf>
    <xf numFmtId="0" fontId="0" fillId="34" borderId="0" xfId="0" applyFill="1"/>
    <xf numFmtId="0" fontId="38" fillId="34" borderId="0" xfId="0" applyFont="1" applyFill="1" applyAlignment="1">
      <alignment vertical="center"/>
    </xf>
    <xf numFmtId="3" fontId="0" fillId="34" borderId="0" xfId="0" applyNumberFormat="1" applyFill="1"/>
    <xf numFmtId="2" fontId="0" fillId="34" borderId="0" xfId="0" applyNumberFormat="1" applyFill="1"/>
    <xf numFmtId="3" fontId="0" fillId="34" borderId="0" xfId="0" applyNumberFormat="1" applyFill="1" applyAlignment="1">
      <alignment vertical="center"/>
    </xf>
    <xf numFmtId="2" fontId="0" fillId="34" borderId="0" xfId="0" applyNumberFormat="1" applyFill="1" applyAlignment="1">
      <alignment vertical="center"/>
    </xf>
    <xf numFmtId="2" fontId="0" fillId="0" borderId="10" xfId="0" applyNumberFormat="1" applyBorder="1" applyAlignment="1">
      <alignment vertical="center"/>
    </xf>
    <xf numFmtId="0" fontId="3" fillId="34" borderId="0" xfId="0" applyFont="1" applyFill="1" applyAlignment="1">
      <alignment horizontal="center"/>
    </xf>
    <xf numFmtId="0" fontId="51" fillId="0" borderId="10" xfId="45" applyFont="1" applyBorder="1" applyAlignment="1">
      <alignment horizontal="center" vertical="center" wrapText="1"/>
    </xf>
    <xf numFmtId="49" fontId="48" fillId="0" borderId="10" xfId="0" applyNumberFormat="1" applyFont="1" applyBorder="1" applyAlignment="1">
      <alignment vertical="center"/>
    </xf>
    <xf numFmtId="0" fontId="48" fillId="0" borderId="10" xfId="0" applyFont="1" applyBorder="1" applyAlignment="1">
      <alignment vertical="center" wrapText="1"/>
    </xf>
    <xf numFmtId="0" fontId="7" fillId="0" borderId="17" xfId="0" applyFont="1" applyBorder="1" applyAlignment="1">
      <alignment vertical="center"/>
    </xf>
    <xf numFmtId="3" fontId="7" fillId="0" borderId="11" xfId="0" applyNumberFormat="1" applyFont="1" applyBorder="1" applyAlignment="1">
      <alignment horizontal="right" vertical="center"/>
    </xf>
    <xf numFmtId="167" fontId="7" fillId="0" borderId="11" xfId="0" applyNumberFormat="1" applyFont="1" applyBorder="1" applyAlignment="1">
      <alignment horizontal="right" vertical="center"/>
    </xf>
    <xf numFmtId="167" fontId="0" fillId="0" borderId="16" xfId="0" applyNumberFormat="1" applyBorder="1" applyAlignment="1">
      <alignment horizontal="right" vertical="center"/>
    </xf>
    <xf numFmtId="3" fontId="41" fillId="37" borderId="10" xfId="0" applyNumberFormat="1" applyFont="1" applyFill="1" applyBorder="1" applyAlignment="1">
      <alignment vertical="center"/>
    </xf>
    <xf numFmtId="3" fontId="41" fillId="38" borderId="10" xfId="0" applyNumberFormat="1" applyFont="1" applyFill="1" applyBorder="1" applyAlignment="1">
      <alignment vertical="center"/>
    </xf>
    <xf numFmtId="3" fontId="41" fillId="35" borderId="10" xfId="0" applyNumberFormat="1" applyFont="1" applyFill="1" applyBorder="1" applyAlignment="1">
      <alignment vertical="center"/>
    </xf>
    <xf numFmtId="3" fontId="41" fillId="36" borderId="10" xfId="0" applyNumberFormat="1" applyFont="1" applyFill="1" applyBorder="1" applyAlignment="1">
      <alignment vertical="center"/>
    </xf>
    <xf numFmtId="3" fontId="41" fillId="36" borderId="10" xfId="0" applyNumberFormat="1" applyFont="1" applyFill="1" applyBorder="1"/>
    <xf numFmtId="3" fontId="41" fillId="35" borderId="10" xfId="0" applyNumberFormat="1" applyFont="1" applyFill="1" applyBorder="1"/>
    <xf numFmtId="3" fontId="41" fillId="38" borderId="10" xfId="0" applyNumberFormat="1" applyFont="1" applyFill="1" applyBorder="1"/>
    <xf numFmtId="3" fontId="7" fillId="35" borderId="10" xfId="0" applyNumberFormat="1" applyFont="1" applyFill="1" applyBorder="1"/>
    <xf numFmtId="3" fontId="7" fillId="37" borderId="10" xfId="0" applyNumberFormat="1" applyFont="1" applyFill="1" applyBorder="1"/>
    <xf numFmtId="49" fontId="62" fillId="0" borderId="10" xfId="0" applyNumberFormat="1" applyFont="1" applyBorder="1" applyAlignment="1">
      <alignment vertical="center"/>
    </xf>
    <xf numFmtId="0" fontId="55" fillId="0" borderId="10" xfId="0" applyFont="1" applyBorder="1" applyAlignment="1">
      <alignment vertical="center"/>
    </xf>
    <xf numFmtId="3" fontId="55" fillId="0" borderId="10" xfId="0" applyNumberFormat="1" applyFont="1" applyBorder="1" applyAlignment="1">
      <alignment horizontal="right" vertical="center"/>
    </xf>
    <xf numFmtId="3" fontId="7" fillId="0" borderId="10" xfId="0" applyNumberFormat="1" applyFont="1" applyBorder="1"/>
    <xf numFmtId="0" fontId="0" fillId="34" borderId="0" xfId="0" applyFill="1" applyAlignment="1">
      <alignment vertical="center"/>
    </xf>
    <xf numFmtId="0" fontId="7" fillId="34" borderId="0" xfId="0" applyFont="1" applyFill="1" applyAlignment="1">
      <alignment vertical="center"/>
    </xf>
    <xf numFmtId="0" fontId="0" fillId="24" borderId="0" xfId="0" applyFill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0" fillId="0" borderId="10" xfId="0" applyNumberFormat="1" applyBorder="1" applyAlignment="1">
      <alignment horizontal="right" vertical="center" wrapText="1"/>
    </xf>
    <xf numFmtId="0" fontId="7" fillId="38" borderId="10" xfId="0" applyFont="1" applyFill="1" applyBorder="1" applyAlignment="1">
      <alignment horizontal="center" vertical="center" wrapText="1"/>
    </xf>
    <xf numFmtId="0" fontId="7" fillId="38" borderId="10" xfId="0" applyFont="1" applyFill="1" applyBorder="1" applyAlignment="1">
      <alignment horizontal="left" vertical="center" wrapText="1"/>
    </xf>
    <xf numFmtId="3" fontId="7" fillId="38" borderId="10" xfId="0" applyNumberFormat="1" applyFont="1" applyFill="1" applyBorder="1" applyAlignment="1">
      <alignment horizontal="right" vertical="center" wrapText="1"/>
    </xf>
    <xf numFmtId="0" fontId="63" fillId="0" borderId="10" xfId="0" applyFont="1" applyBorder="1" applyAlignment="1">
      <alignment horizontal="center" vertical="center" wrapText="1"/>
    </xf>
    <xf numFmtId="0" fontId="63" fillId="0" borderId="10" xfId="0" applyFont="1" applyBorder="1" applyAlignment="1">
      <alignment horizontal="left" vertical="center" wrapText="1"/>
    </xf>
    <xf numFmtId="3" fontId="63" fillId="0" borderId="10" xfId="0" applyNumberFormat="1" applyFont="1" applyBorder="1" applyAlignment="1">
      <alignment horizontal="right" vertical="center" wrapText="1"/>
    </xf>
    <xf numFmtId="0" fontId="0" fillId="34" borderId="0" xfId="0" applyFill="1" applyAlignment="1">
      <alignment horizontal="center" vertical="center"/>
    </xf>
    <xf numFmtId="0" fontId="13" fillId="24" borderId="0" xfId="0" applyFont="1" applyFill="1" applyAlignment="1">
      <alignment horizontal="left" vertical="center" wrapText="1"/>
    </xf>
    <xf numFmtId="0" fontId="13" fillId="24" borderId="0" xfId="0" applyFont="1" applyFill="1" applyAlignment="1">
      <alignment vertical="center" wrapText="1"/>
    </xf>
    <xf numFmtId="3" fontId="13" fillId="0" borderId="10" xfId="0" applyNumberFormat="1" applyFont="1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13" fillId="0" borderId="10" xfId="0" applyFont="1" applyBorder="1" applyAlignment="1" applyProtection="1">
      <alignment horizontal="left" vertical="center" wrapText="1"/>
      <protection locked="0"/>
    </xf>
    <xf numFmtId="0" fontId="13" fillId="24" borderId="0" xfId="0" applyFont="1" applyFill="1" applyAlignment="1">
      <alignment horizontal="right" vertical="center" wrapText="1"/>
    </xf>
    <xf numFmtId="0" fontId="0" fillId="0" borderId="16" xfId="0" applyBorder="1" applyAlignment="1" applyProtection="1">
      <alignment vertical="center" wrapText="1"/>
      <protection locked="0"/>
    </xf>
    <xf numFmtId="0" fontId="13" fillId="34" borderId="0" xfId="0" applyFont="1" applyFill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8" fontId="13" fillId="0" borderId="10" xfId="0" applyNumberFormat="1" applyFont="1" applyBorder="1" applyAlignment="1" applyProtection="1">
      <alignment horizontal="right" vertical="center" wrapText="1" indent="2"/>
      <protection locked="0"/>
    </xf>
    <xf numFmtId="168" fontId="13" fillId="0" borderId="10" xfId="0" applyNumberFormat="1" applyFont="1" applyBorder="1" applyAlignment="1" applyProtection="1">
      <alignment horizontal="center" vertical="center" wrapText="1"/>
      <protection locked="0"/>
    </xf>
    <xf numFmtId="0" fontId="65" fillId="26" borderId="10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7" fillId="0" borderId="10" xfId="0" applyFont="1" applyBorder="1"/>
    <xf numFmtId="2" fontId="7" fillId="0" borderId="10" xfId="0" applyNumberFormat="1" applyFont="1" applyBorder="1"/>
    <xf numFmtId="0" fontId="9" fillId="33" borderId="10" xfId="0" applyFont="1" applyFill="1" applyBorder="1" applyAlignment="1">
      <alignment horizontal="center"/>
    </xf>
    <xf numFmtId="0" fontId="7" fillId="33" borderId="10" xfId="0" applyFont="1" applyFill="1" applyBorder="1"/>
    <xf numFmtId="2" fontId="7" fillId="26" borderId="10" xfId="0" applyNumberFormat="1" applyFont="1" applyFill="1" applyBorder="1"/>
    <xf numFmtId="3" fontId="7" fillId="0" borderId="10" xfId="0" applyNumberFormat="1" applyFont="1" applyBorder="1" applyAlignment="1">
      <alignment horizontal="right" vertical="center"/>
    </xf>
    <xf numFmtId="2" fontId="0" fillId="39" borderId="10" xfId="0" applyNumberFormat="1" applyFill="1" applyBorder="1" applyAlignment="1">
      <alignment vertical="center"/>
    </xf>
    <xf numFmtId="3" fontId="7" fillId="30" borderId="10" xfId="0" applyNumberFormat="1" applyFont="1" applyFill="1" applyBorder="1"/>
    <xf numFmtId="2" fontId="7" fillId="30" borderId="10" xfId="0" applyNumberFormat="1" applyFont="1" applyFill="1" applyBorder="1"/>
    <xf numFmtId="0" fontId="0" fillId="34" borderId="0" xfId="0" applyFill="1" applyAlignment="1">
      <alignment horizontal="right"/>
    </xf>
    <xf numFmtId="0" fontId="0" fillId="34" borderId="18" xfId="0" applyFill="1" applyBorder="1" applyAlignment="1">
      <alignment vertical="center"/>
    </xf>
    <xf numFmtId="0" fontId="13" fillId="0" borderId="10" xfId="0" applyFont="1" applyBorder="1" applyAlignment="1">
      <alignment horizontal="left" vertical="center" wrapText="1"/>
    </xf>
    <xf numFmtId="3" fontId="13" fillId="0" borderId="10" xfId="0" applyNumberFormat="1" applyFont="1" applyBorder="1" applyAlignment="1">
      <alignment horizontal="right" vertical="center" wrapText="1"/>
    </xf>
    <xf numFmtId="0" fontId="13" fillId="38" borderId="10" xfId="0" applyFont="1" applyFill="1" applyBorder="1" applyAlignment="1">
      <alignment horizontal="left" vertical="center" wrapText="1"/>
    </xf>
    <xf numFmtId="3" fontId="13" fillId="38" borderId="10" xfId="0" applyNumberFormat="1" applyFont="1" applyFill="1" applyBorder="1" applyAlignment="1">
      <alignment horizontal="right" vertical="center" wrapText="1"/>
    </xf>
    <xf numFmtId="3" fontId="13" fillId="38" borderId="10" xfId="0" applyNumberFormat="1" applyFont="1" applyFill="1" applyBorder="1" applyAlignment="1">
      <alignment vertical="center"/>
    </xf>
    <xf numFmtId="3" fontId="7" fillId="38" borderId="10" xfId="0" applyNumberFormat="1" applyFont="1" applyFill="1" applyBorder="1" applyAlignment="1">
      <alignment vertical="center"/>
    </xf>
    <xf numFmtId="0" fontId="41" fillId="40" borderId="10" xfId="0" applyFont="1" applyFill="1" applyBorder="1" applyAlignment="1">
      <alignment horizontal="left" vertical="center" wrapText="1"/>
    </xf>
    <xf numFmtId="3" fontId="41" fillId="40" borderId="10" xfId="0" applyNumberFormat="1" applyFont="1" applyFill="1" applyBorder="1" applyAlignment="1">
      <alignment horizontal="right" vertical="center" wrapText="1"/>
    </xf>
    <xf numFmtId="3" fontId="41" fillId="40" borderId="10" xfId="0" applyNumberFormat="1" applyFont="1" applyFill="1" applyBorder="1" applyAlignment="1">
      <alignment vertical="center"/>
    </xf>
    <xf numFmtId="0" fontId="7" fillId="34" borderId="10" xfId="0" applyFont="1" applyFill="1" applyBorder="1" applyAlignment="1">
      <alignment horizontal="center" vertical="center"/>
    </xf>
    <xf numFmtId="0" fontId="51" fillId="34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top" wrapText="1"/>
    </xf>
    <xf numFmtId="3" fontId="13" fillId="0" borderId="10" xfId="0" applyNumberFormat="1" applyFont="1" applyBorder="1" applyAlignment="1">
      <alignment horizontal="right" vertical="top" wrapText="1"/>
    </xf>
    <xf numFmtId="0" fontId="7" fillId="35" borderId="10" xfId="0" applyFont="1" applyFill="1" applyBorder="1" applyAlignment="1">
      <alignment horizontal="left" vertical="top" wrapText="1"/>
    </xf>
    <xf numFmtId="3" fontId="7" fillId="35" borderId="10" xfId="0" applyNumberFormat="1" applyFont="1" applyFill="1" applyBorder="1" applyAlignment="1">
      <alignment horizontal="right" vertical="top" wrapText="1"/>
    </xf>
    <xf numFmtId="0" fontId="7" fillId="0" borderId="10" xfId="0" applyFont="1" applyBorder="1" applyAlignment="1">
      <alignment horizontal="left" vertical="top" wrapText="1"/>
    </xf>
    <xf numFmtId="3" fontId="7" fillId="0" borderId="10" xfId="0" applyNumberFormat="1" applyFont="1" applyBorder="1" applyAlignment="1">
      <alignment horizontal="right" vertical="top" wrapText="1"/>
    </xf>
    <xf numFmtId="0" fontId="7" fillId="36" borderId="10" xfId="0" applyFont="1" applyFill="1" applyBorder="1" applyAlignment="1">
      <alignment horizontal="left" vertical="top" wrapText="1"/>
    </xf>
    <xf numFmtId="3" fontId="7" fillId="36" borderId="10" xfId="0" applyNumberFormat="1" applyFont="1" applyFill="1" applyBorder="1" applyAlignment="1">
      <alignment horizontal="right" vertical="top" wrapText="1"/>
    </xf>
    <xf numFmtId="0" fontId="41" fillId="36" borderId="10" xfId="0" applyFont="1" applyFill="1" applyBorder="1" applyAlignment="1">
      <alignment horizontal="left" vertical="center" wrapText="1"/>
    </xf>
    <xf numFmtId="3" fontId="41" fillId="36" borderId="10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 applyProtection="1">
      <alignment vertical="center" wrapText="1"/>
      <protection locked="0"/>
    </xf>
    <xf numFmtId="0" fontId="7" fillId="41" borderId="10" xfId="0" applyFont="1" applyFill="1" applyBorder="1" applyAlignment="1" applyProtection="1">
      <alignment vertical="center" wrapText="1"/>
      <protection locked="0"/>
    </xf>
    <xf numFmtId="3" fontId="8" fillId="0" borderId="10" xfId="0" applyNumberFormat="1" applyFont="1" applyBorder="1" applyAlignment="1" applyProtection="1">
      <alignment vertical="center" wrapText="1"/>
      <protection locked="0"/>
    </xf>
    <xf numFmtId="3" fontId="7" fillId="41" borderId="10" xfId="0" applyNumberFormat="1" applyFont="1" applyFill="1" applyBorder="1" applyAlignment="1" applyProtection="1">
      <alignment vertical="center" wrapText="1"/>
      <protection locked="0"/>
    </xf>
    <xf numFmtId="0" fontId="7" fillId="0" borderId="15" xfId="0" applyFont="1" applyBorder="1" applyAlignment="1">
      <alignment vertical="center"/>
    </xf>
    <xf numFmtId="3" fontId="0" fillId="0" borderId="16" xfId="0" applyNumberFormat="1" applyBorder="1" applyAlignment="1">
      <alignment vertical="center"/>
    </xf>
    <xf numFmtId="0" fontId="4" fillId="34" borderId="0" xfId="0" applyFont="1" applyFill="1"/>
    <xf numFmtId="166" fontId="0" fillId="0" borderId="10" xfId="0" applyNumberFormat="1" applyBorder="1" applyAlignment="1">
      <alignment vertical="center"/>
    </xf>
    <xf numFmtId="3" fontId="7" fillId="0" borderId="10" xfId="0" quotePrefix="1" applyNumberFormat="1" applyFont="1" applyBorder="1" applyAlignment="1">
      <alignment horizontal="right"/>
    </xf>
    <xf numFmtId="49" fontId="40" fillId="25" borderId="14" xfId="0" applyNumberFormat="1" applyFont="1" applyFill="1" applyBorder="1" applyAlignment="1">
      <alignment vertical="center"/>
    </xf>
    <xf numFmtId="49" fontId="40" fillId="25" borderId="14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3" fontId="0" fillId="0" borderId="10" xfId="0" applyNumberFormat="1" applyBorder="1" applyAlignment="1">
      <alignment horizontal="right" vertical="center"/>
    </xf>
    <xf numFmtId="167" fontId="0" fillId="0" borderId="10" xfId="0" applyNumberFormat="1" applyBorder="1" applyAlignment="1">
      <alignment vertical="center"/>
    </xf>
    <xf numFmtId="166" fontId="7" fillId="0" borderId="10" xfId="0" applyNumberFormat="1" applyFont="1" applyBorder="1" applyAlignment="1">
      <alignment vertical="center"/>
    </xf>
    <xf numFmtId="0" fontId="14" fillId="0" borderId="10" xfId="46" applyBorder="1"/>
    <xf numFmtId="49" fontId="10" fillId="0" borderId="10" xfId="46" applyNumberFormat="1" applyFont="1" applyBorder="1" applyAlignment="1">
      <alignment horizontal="center"/>
    </xf>
    <xf numFmtId="0" fontId="10" fillId="0" borderId="10" xfId="46" applyFont="1" applyBorder="1"/>
    <xf numFmtId="0" fontId="14" fillId="0" borderId="10" xfId="46" applyBorder="1" applyAlignment="1">
      <alignment horizontal="center"/>
    </xf>
    <xf numFmtId="0" fontId="7" fillId="34" borderId="0" xfId="0" applyFont="1" applyFill="1"/>
    <xf numFmtId="0" fontId="46" fillId="0" borderId="10" xfId="0" applyFont="1" applyBorder="1" applyAlignment="1" applyProtection="1">
      <alignment horizontal="left" vertical="center" wrapText="1"/>
      <protection locked="0"/>
    </xf>
    <xf numFmtId="0" fontId="41" fillId="38" borderId="10" xfId="0" applyFont="1" applyFill="1" applyBorder="1" applyAlignment="1" applyProtection="1">
      <alignment horizontal="left" vertical="center" wrapText="1"/>
      <protection locked="0"/>
    </xf>
    <xf numFmtId="3" fontId="41" fillId="38" borderId="10" xfId="0" applyNumberFormat="1" applyFont="1" applyFill="1" applyBorder="1" applyAlignment="1" applyProtection="1">
      <alignment vertical="center" wrapText="1"/>
      <protection locked="0"/>
    </xf>
    <xf numFmtId="167" fontId="40" fillId="34" borderId="15" xfId="45" applyNumberFormat="1" applyFont="1" applyFill="1" applyBorder="1"/>
    <xf numFmtId="167" fontId="40" fillId="34" borderId="0" xfId="45" applyNumberFormat="1" applyFont="1" applyFill="1"/>
    <xf numFmtId="167" fontId="43" fillId="34" borderId="15" xfId="45" applyNumberFormat="1" applyFont="1" applyFill="1" applyBorder="1"/>
    <xf numFmtId="0" fontId="41" fillId="34" borderId="0" xfId="0" applyFont="1" applyFill="1" applyAlignment="1">
      <alignment horizontal="left" vertical="center"/>
    </xf>
    <xf numFmtId="3" fontId="41" fillId="34" borderId="0" xfId="0" applyNumberFormat="1" applyFont="1" applyFill="1" applyAlignment="1">
      <alignment vertical="center"/>
    </xf>
    <xf numFmtId="167" fontId="41" fillId="34" borderId="0" xfId="0" applyNumberFormat="1" applyFont="1" applyFill="1" applyAlignment="1">
      <alignment vertical="center"/>
    </xf>
    <xf numFmtId="170" fontId="0" fillId="0" borderId="0" xfId="26" applyNumberFormat="1" applyFont="1" applyAlignment="1">
      <alignment horizontal="right"/>
    </xf>
    <xf numFmtId="3" fontId="5" fillId="0" borderId="10" xfId="0" applyNumberFormat="1" applyFont="1" applyBorder="1" applyAlignment="1">
      <alignment vertical="center"/>
    </xf>
    <xf numFmtId="0" fontId="41" fillId="25" borderId="10" xfId="0" applyFont="1" applyFill="1" applyBorder="1" applyAlignment="1">
      <alignment horizontal="left"/>
    </xf>
    <xf numFmtId="0" fontId="9" fillId="42" borderId="10" xfId="0" applyFont="1" applyFill="1" applyBorder="1" applyAlignment="1">
      <alignment horizontal="left" vertical="center"/>
    </xf>
    <xf numFmtId="0" fontId="9" fillId="42" borderId="10" xfId="0" applyFont="1" applyFill="1" applyBorder="1" applyAlignment="1">
      <alignment horizontal="center" vertical="center"/>
    </xf>
    <xf numFmtId="3" fontId="9" fillId="42" borderId="10" xfId="0" applyNumberFormat="1" applyFont="1" applyFill="1" applyBorder="1" applyAlignment="1">
      <alignment horizontal="center" vertical="center"/>
    </xf>
    <xf numFmtId="3" fontId="9" fillId="42" borderId="10" xfId="0" applyNumberFormat="1" applyFont="1" applyFill="1" applyBorder="1" applyAlignment="1">
      <alignment horizontal="center" vertical="center" wrapText="1"/>
    </xf>
    <xf numFmtId="0" fontId="10" fillId="0" borderId="10" xfId="0" applyFont="1" applyBorder="1"/>
    <xf numFmtId="3" fontId="10" fillId="0" borderId="10" xfId="0" applyNumberFormat="1" applyFont="1" applyBorder="1"/>
    <xf numFmtId="0" fontId="9" fillId="43" borderId="14" xfId="0" applyFont="1" applyFill="1" applyBorder="1"/>
    <xf numFmtId="3" fontId="9" fillId="43" borderId="20" xfId="0" applyNumberFormat="1" applyFont="1" applyFill="1" applyBorder="1"/>
    <xf numFmtId="3" fontId="9" fillId="43" borderId="19" xfId="0" applyNumberFormat="1" applyFont="1" applyFill="1" applyBorder="1"/>
    <xf numFmtId="0" fontId="10" fillId="0" borderId="10" xfId="0" applyFont="1" applyBorder="1" applyAlignment="1">
      <alignment vertical="center"/>
    </xf>
    <xf numFmtId="3" fontId="10" fillId="0" borderId="19" xfId="0" applyNumberFormat="1" applyFont="1" applyBorder="1" applyAlignment="1">
      <alignment vertical="center"/>
    </xf>
    <xf numFmtId="3" fontId="10" fillId="0" borderId="19" xfId="0" applyNumberFormat="1" applyFont="1" applyBorder="1"/>
    <xf numFmtId="0" fontId="9" fillId="44" borderId="14" xfId="0" applyFont="1" applyFill="1" applyBorder="1"/>
    <xf numFmtId="3" fontId="9" fillId="44" borderId="10" xfId="0" applyNumberFormat="1" applyFont="1" applyFill="1" applyBorder="1"/>
    <xf numFmtId="3" fontId="9" fillId="44" borderId="19" xfId="0" applyNumberFormat="1" applyFont="1" applyFill="1" applyBorder="1"/>
    <xf numFmtId="0" fontId="0" fillId="0" borderId="10" xfId="0" applyBorder="1" applyAlignment="1">
      <alignment horizontal="left" vertical="top" wrapText="1"/>
    </xf>
    <xf numFmtId="3" fontId="0" fillId="0" borderId="0" xfId="0" applyNumberFormat="1" applyAlignment="1">
      <alignment horizontal="right" vertical="top" wrapText="1"/>
    </xf>
    <xf numFmtId="3" fontId="0" fillId="0" borderId="0" xfId="0" applyNumberFormat="1"/>
    <xf numFmtId="49" fontId="0" fillId="0" borderId="10" xfId="0" applyNumberFormat="1" applyBorder="1" applyAlignment="1">
      <alignment horizontal="center" vertical="center" wrapText="1"/>
    </xf>
    <xf numFmtId="3" fontId="0" fillId="24" borderId="0" xfId="0" applyNumberFormat="1" applyFill="1"/>
    <xf numFmtId="3" fontId="4" fillId="24" borderId="0" xfId="0" applyNumberFormat="1" applyFont="1" applyFill="1"/>
    <xf numFmtId="3" fontId="4" fillId="0" borderId="0" xfId="0" applyNumberFormat="1" applyFont="1"/>
    <xf numFmtId="3" fontId="5" fillId="24" borderId="0" xfId="0" applyNumberFormat="1" applyFont="1" applyFill="1"/>
    <xf numFmtId="3" fontId="5" fillId="0" borderId="0" xfId="0" applyNumberFormat="1" applyFont="1"/>
    <xf numFmtId="3" fontId="40" fillId="24" borderId="0" xfId="0" applyNumberFormat="1" applyFont="1" applyFill="1"/>
    <xf numFmtId="3" fontId="40" fillId="0" borderId="0" xfId="0" applyNumberFormat="1" applyFont="1"/>
    <xf numFmtId="3" fontId="7" fillId="24" borderId="0" xfId="0" applyNumberFormat="1" applyFont="1" applyFill="1"/>
    <xf numFmtId="3" fontId="7" fillId="0" borderId="0" xfId="0" applyNumberFormat="1" applyFont="1"/>
    <xf numFmtId="3" fontId="7" fillId="24" borderId="0" xfId="0" applyNumberFormat="1" applyFont="1" applyFill="1" applyAlignment="1">
      <alignment wrapText="1"/>
    </xf>
    <xf numFmtId="3" fontId="7" fillId="0" borderId="0" xfId="0" applyNumberFormat="1" applyFont="1" applyAlignment="1">
      <alignment wrapText="1"/>
    </xf>
    <xf numFmtId="0" fontId="0" fillId="34" borderId="10" xfId="0" applyFill="1" applyBorder="1" applyAlignment="1">
      <alignment horizontal="center" vertical="center"/>
    </xf>
    <xf numFmtId="0" fontId="0" fillId="34" borderId="10" xfId="0" applyFill="1" applyBorder="1" applyAlignment="1">
      <alignment vertical="center"/>
    </xf>
    <xf numFmtId="0" fontId="7" fillId="45" borderId="10" xfId="0" applyFont="1" applyFill="1" applyBorder="1" applyAlignment="1">
      <alignment horizontal="center" vertical="center"/>
    </xf>
    <xf numFmtId="0" fontId="7" fillId="45" borderId="10" xfId="0" applyFont="1" applyFill="1" applyBorder="1" applyAlignment="1">
      <alignment vertical="center"/>
    </xf>
    <xf numFmtId="0" fontId="64" fillId="45" borderId="10" xfId="0" applyFont="1" applyFill="1" applyBorder="1" applyAlignment="1">
      <alignment horizontal="center" vertical="center" wrapText="1"/>
    </xf>
    <xf numFmtId="0" fontId="64" fillId="45" borderId="10" xfId="0" applyFont="1" applyFill="1" applyBorder="1" applyAlignment="1">
      <alignment horizontal="left" vertical="center" wrapText="1"/>
    </xf>
    <xf numFmtId="0" fontId="7" fillId="45" borderId="10" xfId="0" applyFont="1" applyFill="1" applyBorder="1" applyAlignment="1">
      <alignment horizontal="center" vertical="center" wrapText="1"/>
    </xf>
    <xf numFmtId="49" fontId="7" fillId="45" borderId="10" xfId="0" applyNumberFormat="1" applyFont="1" applyFill="1" applyBorder="1" applyAlignment="1">
      <alignment horizontal="center" vertical="center" wrapText="1"/>
    </xf>
    <xf numFmtId="0" fontId="7" fillId="45" borderId="10" xfId="0" applyFont="1" applyFill="1" applyBorder="1" applyAlignment="1">
      <alignment horizontal="left" vertical="center" wrapText="1"/>
    </xf>
    <xf numFmtId="0" fontId="7" fillId="46" borderId="10" xfId="0" applyFont="1" applyFill="1" applyBorder="1" applyAlignment="1">
      <alignment horizontal="center" vertical="center" wrapText="1"/>
    </xf>
    <xf numFmtId="0" fontId="7" fillId="46" borderId="10" xfId="0" applyFont="1" applyFill="1" applyBorder="1" applyAlignment="1">
      <alignment horizontal="left" vertical="center" wrapText="1"/>
    </xf>
    <xf numFmtId="0" fontId="0" fillId="34" borderId="10" xfId="0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9" fillId="45" borderId="10" xfId="0" applyFont="1" applyFill="1" applyBorder="1" applyAlignment="1">
      <alignment horizontal="center" vertical="center" wrapText="1"/>
    </xf>
    <xf numFmtId="0" fontId="9" fillId="45" borderId="10" xfId="0" applyFont="1" applyFill="1" applyBorder="1" applyAlignment="1">
      <alignment horizontal="left" vertical="center" wrapText="1"/>
    </xf>
    <xf numFmtId="0" fontId="61" fillId="46" borderId="10" xfId="0" applyFont="1" applyFill="1" applyBorder="1" applyAlignment="1">
      <alignment horizontal="center" vertical="center" wrapText="1"/>
    </xf>
    <xf numFmtId="0" fontId="61" fillId="46" borderId="10" xfId="0" applyFont="1" applyFill="1" applyBorder="1" applyAlignment="1">
      <alignment horizontal="left" vertical="center" wrapText="1"/>
    </xf>
    <xf numFmtId="0" fontId="7" fillId="46" borderId="10" xfId="0" applyFont="1" applyFill="1" applyBorder="1" applyAlignment="1">
      <alignment horizontal="center" vertical="center"/>
    </xf>
    <xf numFmtId="0" fontId="7" fillId="46" borderId="10" xfId="0" applyFont="1" applyFill="1" applyBorder="1" applyAlignment="1">
      <alignment vertical="center"/>
    </xf>
    <xf numFmtId="3" fontId="0" fillId="34" borderId="10" xfId="0" applyNumberFormat="1" applyFill="1" applyBorder="1" applyAlignment="1">
      <alignment vertical="center"/>
    </xf>
    <xf numFmtId="3" fontId="7" fillId="45" borderId="10" xfId="0" applyNumberFormat="1" applyFont="1" applyFill="1" applyBorder="1" applyAlignment="1">
      <alignment vertical="center"/>
    </xf>
    <xf numFmtId="3" fontId="7" fillId="46" borderId="10" xfId="0" applyNumberFormat="1" applyFont="1" applyFill="1" applyBorder="1" applyAlignment="1">
      <alignment vertical="center"/>
    </xf>
    <xf numFmtId="0" fontId="0" fillId="34" borderId="10" xfId="0" applyFill="1" applyBorder="1" applyAlignment="1">
      <alignment vertical="center" wrapText="1"/>
    </xf>
    <xf numFmtId="3" fontId="0" fillId="24" borderId="0" xfId="0" applyNumberFormat="1" applyFill="1" applyAlignment="1">
      <alignment horizontal="right" vertical="center"/>
    </xf>
    <xf numFmtId="3" fontId="7" fillId="45" borderId="10" xfId="0" applyNumberFormat="1" applyFont="1" applyFill="1" applyBorder="1" applyAlignment="1">
      <alignment horizontal="right" vertical="center" wrapText="1"/>
    </xf>
    <xf numFmtId="3" fontId="7" fillId="46" borderId="10" xfId="0" applyNumberFormat="1" applyFont="1" applyFill="1" applyBorder="1" applyAlignment="1">
      <alignment horizontal="right" vertical="center" wrapText="1"/>
    </xf>
    <xf numFmtId="3" fontId="49" fillId="0" borderId="10" xfId="0" applyNumberFormat="1" applyFont="1" applyBorder="1" applyAlignment="1">
      <alignment horizontal="right" vertical="center" wrapText="1"/>
    </xf>
    <xf numFmtId="3" fontId="0" fillId="34" borderId="10" xfId="0" applyNumberFormat="1" applyFill="1" applyBorder="1" applyAlignment="1">
      <alignment horizontal="right" vertical="center"/>
    </xf>
    <xf numFmtId="3" fontId="7" fillId="0" borderId="10" xfId="0" applyNumberFormat="1" applyFont="1" applyBorder="1" applyAlignment="1">
      <alignment horizontal="left" vertical="center"/>
    </xf>
    <xf numFmtId="3" fontId="7" fillId="0" borderId="19" xfId="0" applyNumberFormat="1" applyFont="1" applyBorder="1" applyAlignment="1">
      <alignment horizontal="left" vertical="center"/>
    </xf>
    <xf numFmtId="3" fontId="7" fillId="0" borderId="10" xfId="0" applyNumberFormat="1" applyFont="1" applyBorder="1" applyAlignment="1">
      <alignment horizontal="center" vertical="center" wrapText="1"/>
    </xf>
    <xf numFmtId="3" fontId="9" fillId="45" borderId="10" xfId="0" applyNumberFormat="1" applyFont="1" applyFill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3" fontId="64" fillId="45" borderId="10" xfId="0" applyNumberFormat="1" applyFont="1" applyFill="1" applyBorder="1" applyAlignment="1">
      <alignment horizontal="right" vertical="center" wrapText="1"/>
    </xf>
    <xf numFmtId="3" fontId="61" fillId="46" borderId="10" xfId="0" applyNumberFormat="1" applyFont="1" applyFill="1" applyBorder="1" applyAlignment="1">
      <alignment horizontal="right" vertical="center" wrapText="1"/>
    </xf>
    <xf numFmtId="0" fontId="7" fillId="34" borderId="0" xfId="0" applyFont="1" applyFill="1" applyAlignment="1">
      <alignment horizontal="center" vertical="center"/>
    </xf>
    <xf numFmtId="3" fontId="7" fillId="34" borderId="0" xfId="0" applyNumberFormat="1" applyFont="1" applyFill="1" applyAlignment="1">
      <alignment vertical="center"/>
    </xf>
    <xf numFmtId="0" fontId="59" fillId="46" borderId="10" xfId="0" applyFont="1" applyFill="1" applyBorder="1" applyAlignment="1">
      <alignment horizontal="center" vertical="center" wrapText="1"/>
    </xf>
    <xf numFmtId="3" fontId="7" fillId="46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3" fontId="6" fillId="24" borderId="0" xfId="0" applyNumberFormat="1" applyFont="1" applyFill="1" applyAlignment="1">
      <alignment vertical="center"/>
    </xf>
    <xf numFmtId="3" fontId="0" fillId="0" borderId="0" xfId="0" applyNumberFormat="1" applyAlignment="1">
      <alignment horizontal="right"/>
    </xf>
    <xf numFmtId="49" fontId="8" fillId="0" borderId="10" xfId="0" applyNumberFormat="1" applyFont="1" applyBorder="1" applyAlignment="1">
      <alignment vertical="center"/>
    </xf>
    <xf numFmtId="3" fontId="2" fillId="0" borderId="10" xfId="0" applyNumberFormat="1" applyFont="1" applyBorder="1"/>
    <xf numFmtId="0" fontId="2" fillId="0" borderId="10" xfId="0" applyFont="1" applyBorder="1"/>
    <xf numFmtId="0" fontId="8" fillId="0" borderId="10" xfId="0" applyFont="1" applyBorder="1" applyAlignment="1">
      <alignment vertical="center" wrapText="1"/>
    </xf>
    <xf numFmtId="3" fontId="8" fillId="0" borderId="10" xfId="0" applyNumberFormat="1" applyFont="1" applyBorder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49" fontId="7" fillId="34" borderId="0" xfId="0" applyNumberFormat="1" applyFont="1" applyFill="1" applyAlignment="1">
      <alignment horizontal="center" vertical="center" wrapText="1"/>
    </xf>
    <xf numFmtId="49" fontId="40" fillId="34" borderId="0" xfId="0" applyNumberFormat="1" applyFont="1" applyFill="1" applyAlignment="1">
      <alignment horizontal="center" vertical="center"/>
    </xf>
    <xf numFmtId="49" fontId="40" fillId="34" borderId="0" xfId="0" applyNumberFormat="1" applyFont="1" applyFill="1" applyAlignment="1">
      <alignment vertical="center"/>
    </xf>
    <xf numFmtId="3" fontId="40" fillId="34" borderId="0" xfId="0" applyNumberFormat="1" applyFont="1" applyFill="1" applyAlignment="1">
      <alignment vertical="center"/>
    </xf>
    <xf numFmtId="0" fontId="0" fillId="0" borderId="15" xfId="0" applyBorder="1" applyAlignment="1">
      <alignment vertical="center"/>
    </xf>
    <xf numFmtId="3" fontId="0" fillId="0" borderId="16" xfId="0" applyNumberFormat="1" applyBorder="1" applyAlignment="1">
      <alignment horizontal="right" vertical="center"/>
    </xf>
    <xf numFmtId="0" fontId="10" fillId="0" borderId="10" xfId="42" applyBorder="1"/>
    <xf numFmtId="42" fontId="10" fillId="0" borderId="10" xfId="42" applyNumberFormat="1" applyBorder="1"/>
    <xf numFmtId="171" fontId="10" fillId="0" borderId="10" xfId="42" applyNumberFormat="1" applyBorder="1"/>
    <xf numFmtId="3" fontId="7" fillId="0" borderId="17" xfId="0" applyNumberFormat="1" applyFont="1" applyBorder="1" applyAlignment="1">
      <alignment horizontal="right" vertical="center"/>
    </xf>
    <xf numFmtId="3" fontId="0" fillId="0" borderId="15" xfId="0" applyNumberForma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164" fontId="0" fillId="0" borderId="10" xfId="0" applyNumberFormat="1" applyBorder="1" applyAlignment="1">
      <alignment horizontal="right" vertical="center" wrapText="1"/>
    </xf>
    <xf numFmtId="3" fontId="41" fillId="0" borderId="14" xfId="0" applyNumberFormat="1" applyFont="1" applyBorder="1"/>
    <xf numFmtId="3" fontId="41" fillId="25" borderId="14" xfId="0" applyNumberFormat="1" applyFont="1" applyFill="1" applyBorder="1"/>
    <xf numFmtId="3" fontId="41" fillId="27" borderId="14" xfId="0" applyNumberFormat="1" applyFont="1" applyFill="1" applyBorder="1"/>
    <xf numFmtId="3" fontId="41" fillId="28" borderId="14" xfId="0" applyNumberFormat="1" applyFont="1" applyFill="1" applyBorder="1"/>
    <xf numFmtId="3" fontId="49" fillId="28" borderId="14" xfId="0" applyNumberFormat="1" applyFont="1" applyFill="1" applyBorder="1"/>
    <xf numFmtId="3" fontId="2" fillId="0" borderId="0" xfId="0" applyNumberFormat="1" applyFont="1"/>
    <xf numFmtId="0" fontId="41" fillId="28" borderId="10" xfId="45" applyFont="1" applyFill="1" applyBorder="1"/>
    <xf numFmtId="3" fontId="2" fillId="24" borderId="10" xfId="0" applyNumberFormat="1" applyFont="1" applyFill="1" applyBorder="1" applyAlignment="1">
      <alignment horizontal="right"/>
    </xf>
    <xf numFmtId="3" fontId="13" fillId="0" borderId="10" xfId="0" applyNumberFormat="1" applyFont="1" applyBorder="1" applyAlignment="1" applyProtection="1">
      <alignment horizontal="center" vertical="center" wrapText="1"/>
      <protection locked="0"/>
    </xf>
    <xf numFmtId="49" fontId="55" fillId="0" borderId="10" xfId="0" applyNumberFormat="1" applyFont="1" applyBorder="1" applyAlignment="1">
      <alignment vertical="center"/>
    </xf>
    <xf numFmtId="3" fontId="55" fillId="0" borderId="10" xfId="0" applyNumberFormat="1" applyFont="1" applyBorder="1" applyAlignment="1">
      <alignment vertical="center"/>
    </xf>
    <xf numFmtId="166" fontId="55" fillId="0" borderId="10" xfId="0" applyNumberFormat="1" applyFont="1" applyBorder="1" applyAlignment="1">
      <alignment vertical="center"/>
    </xf>
    <xf numFmtId="0" fontId="55" fillId="0" borderId="0" xfId="0" applyFont="1"/>
    <xf numFmtId="0" fontId="55" fillId="0" borderId="10" xfId="0" applyFont="1" applyBorder="1" applyAlignment="1">
      <alignment vertical="center" wrapText="1"/>
    </xf>
    <xf numFmtId="3" fontId="46" fillId="0" borderId="10" xfId="0" applyNumberFormat="1" applyFont="1" applyBorder="1" applyAlignment="1">
      <alignment horizontal="right" vertical="center"/>
    </xf>
    <xf numFmtId="3" fontId="2" fillId="0" borderId="10" xfId="45" applyNumberFormat="1" applyBorder="1" applyAlignment="1">
      <alignment vertical="center"/>
    </xf>
    <xf numFmtId="167" fontId="7" fillId="35" borderId="10" xfId="45" applyNumberFormat="1" applyFont="1" applyFill="1" applyBorder="1"/>
    <xf numFmtId="167" fontId="4" fillId="0" borderId="10" xfId="45" applyNumberFormat="1" applyFont="1" applyBorder="1"/>
    <xf numFmtId="167" fontId="4" fillId="38" borderId="10" xfId="45" applyNumberFormat="1" applyFont="1" applyFill="1" applyBorder="1"/>
    <xf numFmtId="167" fontId="7" fillId="38" borderId="10" xfId="45" applyNumberFormat="1" applyFont="1" applyFill="1" applyBorder="1"/>
    <xf numFmtId="3" fontId="7" fillId="25" borderId="10" xfId="0" applyNumberFormat="1" applyFont="1" applyFill="1" applyBorder="1" applyAlignment="1">
      <alignment horizontal="center" vertical="center" wrapText="1"/>
    </xf>
    <xf numFmtId="3" fontId="7" fillId="24" borderId="0" xfId="0" applyNumberFormat="1" applyFont="1" applyFill="1" applyAlignment="1">
      <alignment vertical="center"/>
    </xf>
    <xf numFmtId="3" fontId="7" fillId="24" borderId="0" xfId="0" applyNumberFormat="1" applyFont="1" applyFill="1" applyAlignment="1">
      <alignment vertical="center" wrapText="1"/>
    </xf>
    <xf numFmtId="3" fontId="4" fillId="24" borderId="0" xfId="0" applyNumberFormat="1" applyFont="1" applyFill="1" applyAlignment="1">
      <alignment vertical="center"/>
    </xf>
    <xf numFmtId="3" fontId="5" fillId="24" borderId="0" xfId="0" applyNumberFormat="1" applyFont="1" applyFill="1" applyAlignment="1">
      <alignment vertical="center"/>
    </xf>
    <xf numFmtId="3" fontId="40" fillId="24" borderId="0" xfId="0" applyNumberFormat="1" applyFont="1" applyFill="1" applyAlignment="1">
      <alignment vertical="center"/>
    </xf>
    <xf numFmtId="3" fontId="13" fillId="24" borderId="0" xfId="0" applyNumberFormat="1" applyFont="1" applyFill="1" applyAlignment="1">
      <alignment horizontal="left" vertical="center" wrapText="1"/>
    </xf>
    <xf numFmtId="3" fontId="13" fillId="24" borderId="0" xfId="0" applyNumberFormat="1" applyFont="1" applyFill="1" applyAlignment="1">
      <alignment vertical="center" wrapText="1"/>
    </xf>
    <xf numFmtId="3" fontId="45" fillId="0" borderId="0" xfId="0" applyNumberFormat="1" applyFont="1"/>
    <xf numFmtId="3" fontId="45" fillId="0" borderId="10" xfId="0" applyNumberFormat="1" applyFont="1" applyBorder="1"/>
    <xf numFmtId="0" fontId="7" fillId="0" borderId="10" xfId="0" applyFont="1" applyBorder="1" applyAlignment="1">
      <alignment vertical="center" wrapText="1"/>
    </xf>
    <xf numFmtId="49" fontId="10" fillId="0" borderId="10" xfId="46" applyNumberFormat="1" applyFont="1" applyBorder="1" applyAlignment="1">
      <alignment horizontal="center" vertical="center"/>
    </xf>
    <xf numFmtId="0" fontId="10" fillId="0" borderId="10" xfId="46" applyFont="1" applyBorder="1" applyAlignment="1">
      <alignment vertical="center" wrapText="1"/>
    </xf>
    <xf numFmtId="167" fontId="2" fillId="0" borderId="10" xfId="45" applyNumberFormat="1" applyBorder="1" applyAlignment="1">
      <alignment vertical="center"/>
    </xf>
    <xf numFmtId="167" fontId="40" fillId="34" borderId="15" xfId="45" applyNumberFormat="1" applyFont="1" applyFill="1" applyBorder="1" applyAlignment="1">
      <alignment vertical="center"/>
    </xf>
    <xf numFmtId="167" fontId="40" fillId="34" borderId="0" xfId="45" applyNumberFormat="1" applyFont="1" applyFill="1" applyAlignment="1">
      <alignment vertical="center"/>
    </xf>
    <xf numFmtId="3" fontId="67" fillId="0" borderId="10" xfId="45" applyNumberFormat="1" applyFont="1" applyBorder="1"/>
    <xf numFmtId="164" fontId="7" fillId="26" borderId="10" xfId="45" applyNumberFormat="1" applyFont="1" applyFill="1" applyBorder="1"/>
    <xf numFmtId="3" fontId="2" fillId="0" borderId="10" xfId="45" applyNumberFormat="1" applyBorder="1" applyAlignment="1">
      <alignment horizontal="right" vertical="center"/>
    </xf>
    <xf numFmtId="3" fontId="69" fillId="0" borderId="10" xfId="0" applyNumberFormat="1" applyFont="1" applyBorder="1" applyProtection="1">
      <protection locked="0"/>
    </xf>
    <xf numFmtId="3" fontId="0" fillId="39" borderId="10" xfId="0" applyNumberFormat="1" applyFill="1" applyBorder="1"/>
    <xf numFmtId="0" fontId="0" fillId="38" borderId="10" xfId="0" applyFill="1" applyBorder="1" applyAlignment="1">
      <alignment horizontal="center"/>
    </xf>
    <xf numFmtId="3" fontId="0" fillId="0" borderId="15" xfId="0" applyNumberFormat="1" applyBorder="1" applyAlignment="1">
      <alignment vertical="center"/>
    </xf>
    <xf numFmtId="167" fontId="0" fillId="0" borderId="16" xfId="0" applyNumberFormat="1" applyBorder="1" applyAlignment="1">
      <alignment vertical="center"/>
    </xf>
    <xf numFmtId="3" fontId="6" fillId="0" borderId="10" xfId="0" applyNumberFormat="1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4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3" fontId="0" fillId="24" borderId="10" xfId="0" applyNumberFormat="1" applyFill="1" applyBorder="1" applyAlignment="1">
      <alignment horizontal="left"/>
    </xf>
    <xf numFmtId="49" fontId="48" fillId="0" borderId="14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10" fillId="34" borderId="0" xfId="0" applyFont="1" applyFill="1" applyAlignment="1">
      <alignment horizontal="center"/>
    </xf>
    <xf numFmtId="3" fontId="0" fillId="0" borderId="10" xfId="0" applyNumberFormat="1" applyBorder="1" applyAlignment="1" applyProtection="1">
      <alignment vertical="center" wrapText="1"/>
      <protection locked="0"/>
    </xf>
    <xf numFmtId="3" fontId="1" fillId="0" borderId="10" xfId="0" applyNumberFormat="1" applyFont="1" applyBorder="1"/>
    <xf numFmtId="3" fontId="0" fillId="0" borderId="10" xfId="0" applyNumberFormat="1" applyBorder="1" applyAlignment="1">
      <alignment horizontal="right" vertical="top" wrapText="1"/>
    </xf>
    <xf numFmtId="0" fontId="10" fillId="0" borderId="10" xfId="46" applyFont="1" applyBorder="1" applyAlignment="1">
      <alignment wrapText="1"/>
    </xf>
    <xf numFmtId="49" fontId="46" fillId="0" borderId="10" xfId="0" applyNumberFormat="1" applyFont="1" applyBorder="1" applyAlignment="1">
      <alignment vertical="center"/>
    </xf>
    <xf numFmtId="0" fontId="46" fillId="0" borderId="10" xfId="0" applyFont="1" applyBorder="1" applyAlignment="1">
      <alignment vertical="center"/>
    </xf>
    <xf numFmtId="3" fontId="46" fillId="0" borderId="10" xfId="0" applyNumberFormat="1" applyFont="1" applyBorder="1" applyAlignment="1">
      <alignment vertical="center"/>
    </xf>
    <xf numFmtId="166" fontId="46" fillId="0" borderId="10" xfId="0" applyNumberFormat="1" applyFont="1" applyBorder="1" applyAlignment="1">
      <alignment vertical="center"/>
    </xf>
    <xf numFmtId="0" fontId="46" fillId="0" borderId="0" xfId="0" applyFont="1"/>
    <xf numFmtId="3" fontId="8" fillId="0" borderId="10" xfId="0" applyNumberFormat="1" applyFont="1" applyBorder="1" applyAlignment="1">
      <alignment vertical="center"/>
    </xf>
    <xf numFmtId="166" fontId="6" fillId="0" borderId="10" xfId="0" applyNumberFormat="1" applyFont="1" applyBorder="1" applyAlignment="1">
      <alignment vertical="center"/>
    </xf>
    <xf numFmtId="0" fontId="6" fillId="0" borderId="0" xfId="0" applyFont="1"/>
    <xf numFmtId="166" fontId="8" fillId="0" borderId="10" xfId="0" applyNumberFormat="1" applyFont="1" applyBorder="1" applyAlignment="1">
      <alignment vertical="center"/>
    </xf>
    <xf numFmtId="0" fontId="8" fillId="0" borderId="0" xfId="0" applyFont="1"/>
    <xf numFmtId="0" fontId="8" fillId="24" borderId="0" xfId="0" applyFont="1" applyFill="1"/>
    <xf numFmtId="49" fontId="0" fillId="0" borderId="14" xfId="0" applyNumberFormat="1" applyBorder="1" applyAlignment="1">
      <alignment horizontal="center" vertical="center"/>
    </xf>
    <xf numFmtId="3" fontId="7" fillId="26" borderId="10" xfId="0" applyNumberFormat="1" applyFont="1" applyFill="1" applyBorder="1" applyAlignment="1" applyProtection="1">
      <alignment vertical="center" wrapText="1"/>
      <protection locked="0"/>
    </xf>
    <xf numFmtId="171" fontId="68" fillId="0" borderId="0" xfId="26" applyNumberFormat="1" applyFont="1" applyAlignment="1">
      <alignment horizontal="right"/>
    </xf>
    <xf numFmtId="3" fontId="13" fillId="0" borderId="10" xfId="0" applyNumberFormat="1" applyFont="1" applyFill="1" applyBorder="1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 wrapText="1"/>
      <protection locked="0"/>
    </xf>
    <xf numFmtId="3" fontId="13" fillId="0" borderId="10" xfId="0" applyNumberFormat="1" applyFont="1" applyFill="1" applyBorder="1" applyAlignment="1">
      <alignment horizontal="right" vertical="center" wrapText="1"/>
    </xf>
    <xf numFmtId="3" fontId="13" fillId="0" borderId="10" xfId="0" applyNumberFormat="1" applyFont="1" applyFill="1" applyBorder="1"/>
    <xf numFmtId="0" fontId="7" fillId="0" borderId="10" xfId="0" applyFont="1" applyBorder="1" applyAlignment="1">
      <alignment horizontal="center" vertical="center"/>
    </xf>
    <xf numFmtId="3" fontId="2" fillId="24" borderId="10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10" fillId="0" borderId="10" xfId="56" applyBorder="1" applyAlignment="1">
      <alignment horizontal="center"/>
    </xf>
    <xf numFmtId="0" fontId="10" fillId="0" borderId="10" xfId="56" applyBorder="1"/>
    <xf numFmtId="49" fontId="10" fillId="0" borderId="10" xfId="56" applyNumberFormat="1" applyBorder="1" applyAlignment="1">
      <alignment horizontal="center"/>
    </xf>
    <xf numFmtId="49" fontId="10" fillId="0" borderId="10" xfId="56" applyNumberFormat="1" applyBorder="1" applyAlignment="1">
      <alignment horizontal="center" vertical="center"/>
    </xf>
    <xf numFmtId="0" fontId="10" fillId="0" borderId="10" xfId="56" applyBorder="1" applyAlignment="1">
      <alignment vertical="center" wrapText="1"/>
    </xf>
    <xf numFmtId="0" fontId="10" fillId="0" borderId="10" xfId="56" applyBorder="1" applyAlignment="1">
      <alignment wrapText="1"/>
    </xf>
    <xf numFmtId="0" fontId="0" fillId="34" borderId="0" xfId="0" applyFill="1"/>
    <xf numFmtId="0" fontId="38" fillId="34" borderId="0" xfId="0" applyFont="1" applyFill="1" applyAlignment="1">
      <alignment horizontal="center" vertical="center"/>
    </xf>
    <xf numFmtId="0" fontId="38" fillId="26" borderId="10" xfId="0" applyFont="1" applyFill="1" applyBorder="1" applyAlignment="1">
      <alignment horizontal="center" vertical="center"/>
    </xf>
    <xf numFmtId="0" fontId="38" fillId="39" borderId="10" xfId="0" applyFont="1" applyFill="1" applyBorder="1" applyAlignment="1">
      <alignment horizontal="center" vertical="center"/>
    </xf>
    <xf numFmtId="0" fontId="65" fillId="30" borderId="10" xfId="0" applyFont="1" applyFill="1" applyBorder="1" applyAlignment="1">
      <alignment horizontal="center" vertical="center"/>
    </xf>
    <xf numFmtId="0" fontId="10" fillId="24" borderId="0" xfId="55" applyFill="1"/>
    <xf numFmtId="0" fontId="10" fillId="0" borderId="0" xfId="55"/>
    <xf numFmtId="0" fontId="9" fillId="24" borderId="0" xfId="55" applyFont="1" applyFill="1" applyAlignment="1">
      <alignment horizontal="center"/>
    </xf>
    <xf numFmtId="0" fontId="38" fillId="24" borderId="0" xfId="55" applyFont="1" applyFill="1" applyAlignment="1">
      <alignment vertical="center"/>
    </xf>
    <xf numFmtId="0" fontId="38" fillId="24" borderId="0" xfId="55" applyFont="1" applyFill="1" applyAlignment="1">
      <alignment horizontal="center" vertical="center"/>
    </xf>
    <xf numFmtId="3" fontId="10" fillId="24" borderId="0" xfId="55" applyNumberFormat="1" applyFill="1"/>
    <xf numFmtId="2" fontId="10" fillId="24" borderId="0" xfId="55" applyNumberFormat="1" applyFill="1"/>
    <xf numFmtId="0" fontId="9" fillId="24" borderId="0" xfId="55" applyFont="1" applyFill="1"/>
    <xf numFmtId="0" fontId="9" fillId="0" borderId="0" xfId="55" applyFont="1"/>
    <xf numFmtId="0" fontId="38" fillId="24" borderId="0" xfId="55" applyFont="1" applyFill="1" applyAlignment="1">
      <alignment wrapText="1"/>
    </xf>
    <xf numFmtId="0" fontId="10" fillId="24" borderId="0" xfId="55" applyFill="1" applyAlignment="1">
      <alignment vertical="center"/>
    </xf>
    <xf numFmtId="0" fontId="10" fillId="0" borderId="0" xfId="55" applyAlignment="1">
      <alignment vertical="center"/>
    </xf>
    <xf numFmtId="0" fontId="10" fillId="34" borderId="0" xfId="55" applyFill="1"/>
    <xf numFmtId="49" fontId="38" fillId="24" borderId="0" xfId="55" applyNumberFormat="1" applyFont="1" applyFill="1" applyAlignment="1">
      <alignment vertical="center" wrapText="1"/>
    </xf>
    <xf numFmtId="0" fontId="38" fillId="24" borderId="0" xfId="55" applyFont="1" applyFill="1" applyAlignment="1">
      <alignment vertical="center" wrapText="1"/>
    </xf>
    <xf numFmtId="0" fontId="39" fillId="24" borderId="0" xfId="55" applyFont="1" applyFill="1" applyAlignment="1">
      <alignment wrapText="1"/>
    </xf>
    <xf numFmtId="0" fontId="10" fillId="24" borderId="0" xfId="55" applyFill="1" applyAlignment="1">
      <alignment horizontal="center" vertical="center"/>
    </xf>
    <xf numFmtId="3" fontId="10" fillId="24" borderId="0" xfId="55" applyNumberFormat="1" applyFill="1" applyAlignment="1">
      <alignment vertical="center"/>
    </xf>
    <xf numFmtId="0" fontId="10" fillId="24" borderId="0" xfId="55" applyFill="1" applyAlignment="1">
      <alignment horizontal="center"/>
    </xf>
    <xf numFmtId="0" fontId="10" fillId="24" borderId="0" xfId="54" applyFill="1"/>
    <xf numFmtId="0" fontId="10" fillId="0" borderId="0" xfId="54"/>
    <xf numFmtId="0" fontId="10" fillId="24" borderId="0" xfId="54" applyFill="1" applyAlignment="1">
      <alignment vertical="center"/>
    </xf>
    <xf numFmtId="0" fontId="10" fillId="0" borderId="0" xfId="54" applyAlignment="1">
      <alignment vertical="center"/>
    </xf>
    <xf numFmtId="0" fontId="9" fillId="24" borderId="0" xfId="54" applyFont="1" applyFill="1"/>
    <xf numFmtId="0" fontId="9" fillId="0" borderId="0" xfId="54" applyFont="1"/>
    <xf numFmtId="0" fontId="10" fillId="34" borderId="0" xfId="54" applyFill="1"/>
    <xf numFmtId="49" fontId="51" fillId="0" borderId="10" xfId="0" applyNumberFormat="1" applyFont="1" applyBorder="1" applyAlignment="1">
      <alignment vertical="center"/>
    </xf>
    <xf numFmtId="0" fontId="7" fillId="25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34" borderId="0" xfId="0" applyFill="1"/>
    <xf numFmtId="0" fontId="0" fillId="0" borderId="10" xfId="0" applyBorder="1" applyAlignment="1">
      <alignment horizontal="center"/>
    </xf>
    <xf numFmtId="0" fontId="7" fillId="25" borderId="10" xfId="0" applyFont="1" applyFill="1" applyBorder="1" applyAlignment="1">
      <alignment horizontal="center" vertical="center" wrapText="1"/>
    </xf>
    <xf numFmtId="3" fontId="7" fillId="25" borderId="10" xfId="0" applyNumberFormat="1" applyFont="1" applyFill="1" applyBorder="1" applyAlignment="1">
      <alignment horizontal="center" vertical="center" wrapText="1"/>
    </xf>
    <xf numFmtId="0" fontId="6" fillId="24" borderId="0" xfId="0" applyFont="1" applyFill="1"/>
    <xf numFmtId="49" fontId="0" fillId="0" borderId="14" xfId="0" applyNumberFormat="1" applyBorder="1" applyAlignment="1">
      <alignment vertical="center"/>
    </xf>
    <xf numFmtId="49" fontId="6" fillId="0" borderId="14" xfId="0" applyNumberFormat="1" applyFont="1" applyBorder="1" applyAlignment="1">
      <alignment vertical="center"/>
    </xf>
    <xf numFmtId="0" fontId="46" fillId="24" borderId="0" xfId="0" applyFont="1" applyFill="1" applyAlignment="1">
      <alignment vertical="center"/>
    </xf>
    <xf numFmtId="0" fontId="46" fillId="0" borderId="0" xfId="0" applyFont="1" applyAlignment="1">
      <alignment vertical="center"/>
    </xf>
    <xf numFmtId="0" fontId="8" fillId="24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51" fillId="0" borderId="10" xfId="0" applyFont="1" applyBorder="1" applyAlignment="1">
      <alignment vertical="center" wrapText="1"/>
    </xf>
    <xf numFmtId="3" fontId="51" fillId="0" borderId="10" xfId="0" applyNumberFormat="1" applyFont="1" applyBorder="1" applyAlignment="1">
      <alignment horizontal="right" vertical="center"/>
    </xf>
    <xf numFmtId="3" fontId="51" fillId="0" borderId="10" xfId="0" applyNumberFormat="1" applyFont="1" applyBorder="1" applyAlignment="1">
      <alignment vertical="center"/>
    </xf>
    <xf numFmtId="0" fontId="51" fillId="24" borderId="0" xfId="0" applyFont="1" applyFill="1" applyAlignment="1">
      <alignment vertical="center"/>
    </xf>
    <xf numFmtId="0" fontId="51" fillId="0" borderId="0" xfId="0" applyFont="1" applyAlignment="1">
      <alignment vertical="center"/>
    </xf>
    <xf numFmtId="3" fontId="45" fillId="0" borderId="10" xfId="0" applyNumberFormat="1" applyFont="1" applyFill="1" applyBorder="1"/>
    <xf numFmtId="0" fontId="13" fillId="34" borderId="0" xfId="0" applyFont="1" applyFill="1" applyAlignment="1">
      <alignment horizontal="left" vertical="center" wrapText="1"/>
    </xf>
    <xf numFmtId="3" fontId="45" fillId="24" borderId="10" xfId="0" applyNumberFormat="1" applyFont="1" applyFill="1" applyBorder="1"/>
    <xf numFmtId="3" fontId="41" fillId="24" borderId="10" xfId="0" applyNumberFormat="1" applyFont="1" applyFill="1" applyBorder="1"/>
    <xf numFmtId="3" fontId="58" fillId="24" borderId="10" xfId="0" applyNumberFormat="1" applyFont="1" applyFill="1" applyBorder="1" applyAlignment="1">
      <alignment vertical="center"/>
    </xf>
    <xf numFmtId="0" fontId="7" fillId="25" borderId="19" xfId="0" applyFont="1" applyFill="1" applyBorder="1" applyAlignment="1">
      <alignment horizontal="center" vertical="center" wrapText="1"/>
    </xf>
    <xf numFmtId="3" fontId="0" fillId="24" borderId="10" xfId="0" applyNumberFormat="1" applyFont="1" applyFill="1" applyBorder="1"/>
    <xf numFmtId="166" fontId="10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3" fontId="0" fillId="0" borderId="17" xfId="0" applyNumberFormat="1" applyBorder="1" applyAlignment="1">
      <alignment vertical="center"/>
    </xf>
    <xf numFmtId="3" fontId="7" fillId="0" borderId="22" xfId="0" applyNumberFormat="1" applyFont="1" applyBorder="1" applyAlignment="1">
      <alignment horizontal="right" vertical="center"/>
    </xf>
    <xf numFmtId="3" fontId="0" fillId="0" borderId="11" xfId="0" applyNumberFormat="1" applyBorder="1" applyAlignment="1">
      <alignment vertical="center"/>
    </xf>
    <xf numFmtId="167" fontId="0" fillId="0" borderId="11" xfId="0" applyNumberFormat="1" applyBorder="1" applyAlignment="1">
      <alignment vertical="center"/>
    </xf>
    <xf numFmtId="170" fontId="45" fillId="24" borderId="0" xfId="26" applyNumberFormat="1" applyFont="1" applyFill="1"/>
    <xf numFmtId="170" fontId="45" fillId="24" borderId="0" xfId="26" applyNumberFormat="1" applyFont="1" applyFill="1" applyAlignment="1">
      <alignment horizontal="right"/>
    </xf>
    <xf numFmtId="0" fontId="0" fillId="24" borderId="10" xfId="0" applyFont="1" applyFill="1" applyBorder="1"/>
    <xf numFmtId="3" fontId="45" fillId="24" borderId="10" xfId="0" applyNumberFormat="1" applyFont="1" applyFill="1" applyBorder="1" applyAlignment="1">
      <alignment horizontal="right"/>
    </xf>
    <xf numFmtId="0" fontId="14" fillId="24" borderId="10" xfId="39" applyFill="1" applyBorder="1" applyAlignment="1">
      <alignment vertical="center"/>
    </xf>
    <xf numFmtId="3" fontId="14" fillId="24" borderId="10" xfId="39" applyNumberFormat="1" applyFill="1" applyBorder="1" applyAlignment="1">
      <alignment vertical="center"/>
    </xf>
    <xf numFmtId="0" fontId="10" fillId="24" borderId="0" xfId="39" applyFont="1" applyFill="1" applyAlignment="1">
      <alignment vertical="center"/>
    </xf>
    <xf numFmtId="0" fontId="0" fillId="34" borderId="0" xfId="0" applyFill="1" applyAlignment="1">
      <alignment vertical="center"/>
    </xf>
    <xf numFmtId="0" fontId="7" fillId="0" borderId="10" xfId="0" applyFont="1" applyBorder="1" applyAlignment="1">
      <alignment horizontal="center" vertical="center"/>
    </xf>
    <xf numFmtId="3" fontId="40" fillId="0" borderId="12" xfId="45" applyNumberFormat="1" applyFont="1" applyBorder="1"/>
    <xf numFmtId="172" fontId="10" fillId="0" borderId="10" xfId="0" applyNumberFormat="1" applyFont="1" applyBorder="1" applyAlignment="1">
      <alignment horizontal="center" vertical="center"/>
    </xf>
    <xf numFmtId="169" fontId="18" fillId="0" borderId="10" xfId="0" applyNumberFormat="1" applyFont="1" applyBorder="1" applyAlignment="1">
      <alignment vertical="center"/>
    </xf>
    <xf numFmtId="169" fontId="10" fillId="24" borderId="0" xfId="42" applyNumberFormat="1" applyFill="1" applyAlignment="1">
      <alignment vertical="center"/>
    </xf>
    <xf numFmtId="171" fontId="10" fillId="0" borderId="12" xfId="42" applyNumberFormat="1" applyBorder="1"/>
    <xf numFmtId="3" fontId="10" fillId="0" borderId="12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9" fillId="24" borderId="0" xfId="0" applyFont="1" applyFill="1" applyAlignment="1">
      <alignment horizontal="center"/>
    </xf>
    <xf numFmtId="3" fontId="9" fillId="0" borderId="12" xfId="0" applyNumberFormat="1" applyFont="1" applyBorder="1" applyAlignment="1">
      <alignment vertical="center"/>
    </xf>
    <xf numFmtId="3" fontId="7" fillId="0" borderId="12" xfId="0" applyNumberFormat="1" applyFont="1" applyBorder="1" applyAlignment="1">
      <alignment vertical="center"/>
    </xf>
    <xf numFmtId="0" fontId="9" fillId="24" borderId="0" xfId="0" applyFont="1" applyFill="1" applyAlignment="1">
      <alignment vertical="center"/>
    </xf>
    <xf numFmtId="14" fontId="70" fillId="24" borderId="0" xfId="0" applyNumberFormat="1" applyFont="1" applyFill="1" applyAlignment="1">
      <alignment vertical="center"/>
    </xf>
    <xf numFmtId="0" fontId="10" fillId="34" borderId="0" xfId="54" applyFill="1" applyAlignment="1">
      <alignment vertical="center"/>
    </xf>
    <xf numFmtId="0" fontId="9" fillId="24" borderId="0" xfId="54" applyFont="1" applyFill="1" applyAlignment="1">
      <alignment vertical="center"/>
    </xf>
    <xf numFmtId="0" fontId="9" fillId="0" borderId="0" xfId="54" applyFont="1" applyAlignment="1">
      <alignment vertical="center"/>
    </xf>
    <xf numFmtId="0" fontId="9" fillId="24" borderId="0" xfId="0" applyFont="1" applyFill="1" applyAlignment="1">
      <alignment horizontal="center" vertical="center"/>
    </xf>
    <xf numFmtId="3" fontId="9" fillId="0" borderId="10" xfId="54" applyNumberFormat="1" applyFont="1" applyBorder="1" applyAlignment="1">
      <alignment vertical="center"/>
    </xf>
    <xf numFmtId="49" fontId="53" fillId="0" borderId="10" xfId="0" applyNumberFormat="1" applyFont="1" applyBorder="1" applyAlignment="1">
      <alignment vertical="center"/>
    </xf>
    <xf numFmtId="0" fontId="53" fillId="0" borderId="10" xfId="0" applyFont="1" applyBorder="1" applyAlignment="1">
      <alignment vertical="center" wrapText="1"/>
    </xf>
    <xf numFmtId="166" fontId="9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169" fontId="9" fillId="0" borderId="10" xfId="0" applyNumberFormat="1" applyFont="1" applyBorder="1" applyAlignment="1">
      <alignment vertical="center"/>
    </xf>
    <xf numFmtId="0" fontId="7" fillId="38" borderId="10" xfId="0" applyFont="1" applyFill="1" applyBorder="1" applyAlignment="1">
      <alignment horizontal="center" vertical="center"/>
    </xf>
    <xf numFmtId="3" fontId="51" fillId="38" borderId="11" xfId="0" applyNumberFormat="1" applyFont="1" applyFill="1" applyBorder="1" applyAlignment="1">
      <alignment horizontal="center" vertical="center" wrapText="1"/>
    </xf>
    <xf numFmtId="0" fontId="53" fillId="38" borderId="11" xfId="0" applyFont="1" applyFill="1" applyBorder="1" applyAlignment="1">
      <alignment horizontal="center" vertical="center" wrapText="1"/>
    </xf>
    <xf numFmtId="49" fontId="51" fillId="38" borderId="16" xfId="0" applyNumberFormat="1" applyFont="1" applyFill="1" applyBorder="1" applyAlignment="1">
      <alignment horizontal="center" vertical="center" wrapText="1"/>
    </xf>
    <xf numFmtId="6" fontId="51" fillId="38" borderId="12" xfId="26" applyNumberFormat="1" applyFont="1" applyFill="1" applyBorder="1" applyAlignment="1">
      <alignment horizontal="center" vertical="center" wrapText="1"/>
    </xf>
    <xf numFmtId="0" fontId="42" fillId="38" borderId="10" xfId="0" applyFont="1" applyFill="1" applyBorder="1" applyAlignment="1">
      <alignment vertical="center"/>
    </xf>
    <xf numFmtId="3" fontId="9" fillId="38" borderId="10" xfId="0" applyNumberFormat="1" applyFont="1" applyFill="1" applyBorder="1" applyAlignment="1">
      <alignment vertical="center"/>
    </xf>
    <xf numFmtId="169" fontId="42" fillId="38" borderId="10" xfId="0" applyNumberFormat="1" applyFont="1" applyFill="1" applyBorder="1" applyAlignment="1">
      <alignment vertical="center"/>
    </xf>
    <xf numFmtId="0" fontId="11" fillId="38" borderId="13" xfId="0" applyFont="1" applyFill="1" applyBorder="1" applyAlignment="1">
      <alignment horizontal="center" vertical="center" wrapText="1"/>
    </xf>
    <xf numFmtId="0" fontId="51" fillId="38" borderId="11" xfId="0" applyFont="1" applyFill="1" applyBorder="1" applyAlignment="1">
      <alignment horizontal="center" vertical="center" wrapText="1"/>
    </xf>
    <xf numFmtId="0" fontId="11" fillId="38" borderId="11" xfId="0" applyFont="1" applyFill="1" applyBorder="1" applyAlignment="1">
      <alignment horizontal="center" vertical="center" wrapText="1"/>
    </xf>
    <xf numFmtId="0" fontId="11" fillId="38" borderId="16" xfId="0" applyFont="1" applyFill="1" applyBorder="1" applyAlignment="1">
      <alignment horizontal="center" vertical="center" wrapText="1"/>
    </xf>
    <xf numFmtId="0" fontId="51" fillId="38" borderId="16" xfId="0" applyFont="1" applyFill="1" applyBorder="1" applyAlignment="1">
      <alignment horizontal="center" vertical="center" wrapText="1"/>
    </xf>
    <xf numFmtId="0" fontId="11" fillId="38" borderId="12" xfId="0" applyFont="1" applyFill="1" applyBorder="1" applyAlignment="1">
      <alignment horizontal="center" vertical="center" wrapText="1"/>
    </xf>
    <xf numFmtId="0" fontId="51" fillId="38" borderId="12" xfId="0" applyFont="1" applyFill="1" applyBorder="1" applyAlignment="1">
      <alignment horizontal="center" vertical="center" wrapText="1"/>
    </xf>
    <xf numFmtId="0" fontId="9" fillId="38" borderId="10" xfId="0" applyFont="1" applyFill="1" applyBorder="1" applyAlignment="1">
      <alignment horizontal="center" vertical="center"/>
    </xf>
    <xf numFmtId="0" fontId="11" fillId="38" borderId="10" xfId="0" applyFont="1" applyFill="1" applyBorder="1" applyAlignment="1">
      <alignment horizontal="center" vertical="center" wrapText="1"/>
    </xf>
    <xf numFmtId="0" fontId="61" fillId="38" borderId="10" xfId="0" applyFont="1" applyFill="1" applyBorder="1" applyAlignment="1">
      <alignment vertical="center"/>
    </xf>
    <xf numFmtId="0" fontId="51" fillId="38" borderId="10" xfId="0" applyFont="1" applyFill="1" applyBorder="1" applyAlignment="1">
      <alignment horizontal="center" vertical="center" wrapText="1"/>
    </xf>
    <xf numFmtId="0" fontId="11" fillId="38" borderId="10" xfId="0" applyFont="1" applyFill="1" applyBorder="1" applyAlignment="1">
      <alignment horizontal="center" vertical="center"/>
    </xf>
    <xf numFmtId="3" fontId="19" fillId="38" borderId="10" xfId="0" applyNumberFormat="1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4" fillId="0" borderId="10" xfId="0" applyFont="1" applyBorder="1" applyAlignment="1">
      <alignment vertical="center"/>
    </xf>
    <xf numFmtId="0" fontId="7" fillId="25" borderId="10" xfId="0" applyFont="1" applyFill="1" applyBorder="1" applyAlignment="1">
      <alignment horizontal="center" vertical="center" wrapText="1"/>
    </xf>
    <xf numFmtId="0" fontId="7" fillId="25" borderId="10" xfId="0" applyFont="1" applyFill="1" applyBorder="1" applyAlignment="1">
      <alignment horizontal="center" vertical="center"/>
    </xf>
    <xf numFmtId="49" fontId="0" fillId="34" borderId="0" xfId="0" applyNumberFormat="1" applyFill="1" applyAlignment="1">
      <alignment horizontal="center" vertical="center"/>
    </xf>
    <xf numFmtId="49" fontId="7" fillId="2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7" fillId="0" borderId="10" xfId="45" applyFont="1" applyBorder="1" applyAlignment="1">
      <alignment horizontal="center" vertical="center"/>
    </xf>
    <xf numFmtId="0" fontId="0" fillId="34" borderId="0" xfId="0" applyFill="1" applyAlignment="1">
      <alignment vertical="center"/>
    </xf>
    <xf numFmtId="0" fontId="0" fillId="34" borderId="0" xfId="0" applyFill="1"/>
    <xf numFmtId="0" fontId="7" fillId="34" borderId="0" xfId="0" applyFont="1" applyFill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8" fontId="0" fillId="0" borderId="0" xfId="0" applyNumberFormat="1" applyAlignment="1">
      <alignment vertical="center" wrapText="1"/>
    </xf>
    <xf numFmtId="0" fontId="45" fillId="24" borderId="10" xfId="0" applyFont="1" applyFill="1" applyBorder="1"/>
    <xf numFmtId="2" fontId="0" fillId="0" borderId="10" xfId="0" applyNumberFormat="1" applyFill="1" applyBorder="1"/>
    <xf numFmtId="3" fontId="0" fillId="0" borderId="0" xfId="0" applyNumberFormat="1" applyAlignment="1">
      <alignment horizontal="right" vertical="center"/>
    </xf>
    <xf numFmtId="49" fontId="5" fillId="0" borderId="19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3" fontId="7" fillId="0" borderId="10" xfId="0" applyNumberFormat="1" applyFont="1" applyBorder="1" applyAlignment="1">
      <alignment vertical="center" wrapText="1"/>
    </xf>
    <xf numFmtId="166" fontId="71" fillId="0" borderId="10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49" fontId="7" fillId="0" borderId="0" xfId="0" applyNumberFormat="1" applyFont="1"/>
    <xf numFmtId="0" fontId="4" fillId="43" borderId="10" xfId="0" applyFont="1" applyFill="1" applyBorder="1" applyAlignment="1">
      <alignment horizontal="left" vertical="center"/>
    </xf>
    <xf numFmtId="0" fontId="4" fillId="43" borderId="10" xfId="0" applyFont="1" applyFill="1" applyBorder="1" applyAlignment="1">
      <alignment vertical="center"/>
    </xf>
    <xf numFmtId="3" fontId="4" fillId="43" borderId="10" xfId="0" applyNumberFormat="1" applyFont="1" applyFill="1" applyBorder="1" applyAlignment="1">
      <alignment vertical="center"/>
    </xf>
    <xf numFmtId="167" fontId="7" fillId="43" borderId="10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49" fontId="4" fillId="43" borderId="10" xfId="0" applyNumberFormat="1" applyFont="1" applyFill="1" applyBorder="1" applyAlignment="1">
      <alignment vertical="center"/>
    </xf>
    <xf numFmtId="0" fontId="7" fillId="43" borderId="10" xfId="0" applyFont="1" applyFill="1" applyBorder="1" applyAlignment="1">
      <alignment vertical="center"/>
    </xf>
    <xf numFmtId="167" fontId="4" fillId="43" borderId="10" xfId="0" applyNumberFormat="1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46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3" fontId="51" fillId="0" borderId="0" xfId="0" applyNumberFormat="1" applyFont="1" applyAlignment="1">
      <alignment vertical="center"/>
    </xf>
    <xf numFmtId="167" fontId="8" fillId="43" borderId="10" xfId="0" applyNumberFormat="1" applyFont="1" applyFill="1" applyBorder="1" applyAlignment="1">
      <alignment vertical="center"/>
    </xf>
    <xf numFmtId="49" fontId="7" fillId="43" borderId="10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10" fillId="0" borderId="0" xfId="56" applyNumberFormat="1"/>
    <xf numFmtId="0" fontId="10" fillId="24" borderId="0" xfId="56" applyFill="1"/>
    <xf numFmtId="0" fontId="10" fillId="0" borderId="0" xfId="56"/>
    <xf numFmtId="3" fontId="9" fillId="0" borderId="0" xfId="56" applyNumberFormat="1" applyFont="1" applyAlignment="1">
      <alignment vertical="center"/>
    </xf>
    <xf numFmtId="0" fontId="9" fillId="24" borderId="0" xfId="56" applyFont="1" applyFill="1" applyAlignment="1">
      <alignment vertical="center"/>
    </xf>
    <xf numFmtId="0" fontId="9" fillId="0" borderId="0" xfId="56" applyFont="1" applyAlignment="1">
      <alignment vertical="center"/>
    </xf>
    <xf numFmtId="0" fontId="9" fillId="0" borderId="12" xfId="56" applyFont="1" applyBorder="1" applyAlignment="1">
      <alignment horizontal="center" vertical="center"/>
    </xf>
    <xf numFmtId="3" fontId="9" fillId="0" borderId="0" xfId="56" applyNumberFormat="1" applyFont="1"/>
    <xf numFmtId="0" fontId="9" fillId="24" borderId="0" xfId="56" applyFont="1" applyFill="1"/>
    <xf numFmtId="0" fontId="9" fillId="0" borderId="0" xfId="56" applyFont="1"/>
    <xf numFmtId="0" fontId="10" fillId="34" borderId="0" xfId="56" applyFill="1"/>
    <xf numFmtId="0" fontId="10" fillId="34" borderId="0" xfId="56" applyFill="1" applyAlignment="1">
      <alignment horizontal="center"/>
    </xf>
    <xf numFmtId="3" fontId="42" fillId="0" borderId="0" xfId="56" applyNumberFormat="1" applyFont="1"/>
    <xf numFmtId="0" fontId="42" fillId="24" borderId="0" xfId="56" applyFont="1" applyFill="1"/>
    <xf numFmtId="0" fontId="42" fillId="0" borderId="0" xfId="56" applyFont="1"/>
    <xf numFmtId="0" fontId="9" fillId="32" borderId="0" xfId="56" applyFont="1" applyFill="1"/>
    <xf numFmtId="0" fontId="9" fillId="31" borderId="0" xfId="56" applyFont="1" applyFill="1"/>
    <xf numFmtId="0" fontId="9" fillId="30" borderId="0" xfId="56" applyFont="1" applyFill="1"/>
    <xf numFmtId="0" fontId="9" fillId="29" borderId="0" xfId="56" applyFont="1" applyFill="1"/>
    <xf numFmtId="167" fontId="40" fillId="0" borderId="0" xfId="45" applyNumberFormat="1" applyFont="1"/>
    <xf numFmtId="3" fontId="10" fillId="0" borderId="0" xfId="56" applyNumberFormat="1" applyAlignment="1">
      <alignment vertical="center"/>
    </xf>
    <xf numFmtId="0" fontId="10" fillId="24" borderId="0" xfId="56" applyFill="1" applyAlignment="1">
      <alignment vertical="center"/>
    </xf>
    <xf numFmtId="0" fontId="10" fillId="0" borderId="0" xfId="56" applyAlignment="1">
      <alignment vertical="center"/>
    </xf>
    <xf numFmtId="171" fontId="10" fillId="0" borderId="0" xfId="56" applyNumberFormat="1"/>
    <xf numFmtId="3" fontId="9" fillId="0" borderId="10" xfId="56" applyNumberFormat="1" applyFont="1" applyBorder="1"/>
    <xf numFmtId="167" fontId="40" fillId="38" borderId="10" xfId="45" applyNumberFormat="1" applyFont="1" applyFill="1" applyBorder="1"/>
    <xf numFmtId="3" fontId="7" fillId="37" borderId="10" xfId="45" applyNumberFormat="1" applyFont="1" applyFill="1" applyBorder="1"/>
    <xf numFmtId="167" fontId="4" fillId="37" borderId="10" xfId="45" applyNumberFormat="1" applyFont="1" applyFill="1" applyBorder="1"/>
    <xf numFmtId="0" fontId="10" fillId="0" borderId="0" xfId="56" applyAlignment="1">
      <alignment horizontal="center"/>
    </xf>
    <xf numFmtId="0" fontId="10" fillId="34" borderId="15" xfId="56" applyFill="1" applyBorder="1"/>
    <xf numFmtId="167" fontId="42" fillId="24" borderId="0" xfId="56" applyNumberFormat="1" applyFont="1" applyFill="1"/>
    <xf numFmtId="3" fontId="2" fillId="0" borderId="10" xfId="45" applyNumberFormat="1" applyBorder="1" applyAlignment="1">
      <alignment horizontal="right"/>
    </xf>
    <xf numFmtId="0" fontId="10" fillId="24" borderId="23" xfId="56" applyFill="1" applyBorder="1"/>
    <xf numFmtId="0" fontId="10" fillId="0" borderId="15" xfId="56" applyBorder="1" applyAlignment="1">
      <alignment horizontal="center"/>
    </xf>
    <xf numFmtId="49" fontId="10" fillId="0" borderId="0" xfId="56" applyNumberFormat="1" applyAlignment="1">
      <alignment horizontal="center"/>
    </xf>
    <xf numFmtId="3" fontId="2" fillId="0" borderId="0" xfId="45" applyNumberFormat="1"/>
    <xf numFmtId="167" fontId="2" fillId="0" borderId="23" xfId="45" applyNumberFormat="1" applyBorder="1"/>
    <xf numFmtId="0" fontId="10" fillId="34" borderId="15" xfId="56" applyFill="1" applyBorder="1" applyAlignment="1">
      <alignment horizontal="center"/>
    </xf>
    <xf numFmtId="0" fontId="10" fillId="34" borderId="23" xfId="56" applyFill="1" applyBorder="1" applyAlignment="1">
      <alignment horizontal="center"/>
    </xf>
    <xf numFmtId="167" fontId="40" fillId="0" borderId="12" xfId="45" applyNumberFormat="1" applyFont="1" applyBorder="1"/>
    <xf numFmtId="3" fontId="10" fillId="0" borderId="0" xfId="26" applyNumberFormat="1" applyFont="1" applyBorder="1" applyAlignment="1"/>
    <xf numFmtId="167" fontId="2" fillId="37" borderId="10" xfId="45" applyNumberFormat="1" applyFill="1" applyBorder="1"/>
    <xf numFmtId="171" fontId="10" fillId="0" borderId="10" xfId="26" applyNumberFormat="1" applyFont="1" applyBorder="1"/>
    <xf numFmtId="0" fontId="10" fillId="34" borderId="23" xfId="56" applyFill="1" applyBorder="1"/>
    <xf numFmtId="0" fontId="10" fillId="0" borderId="15" xfId="56" applyBorder="1"/>
    <xf numFmtId="0" fontId="10" fillId="0" borderId="23" xfId="56" applyBorder="1"/>
    <xf numFmtId="3" fontId="0" fillId="0" borderId="22" xfId="0" applyNumberForma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3" fontId="2" fillId="0" borderId="10" xfId="0" applyNumberFormat="1" applyFont="1" applyBorder="1" applyAlignment="1" applyProtection="1">
      <alignment vertical="center" wrapText="1"/>
      <protection locked="0"/>
    </xf>
    <xf numFmtId="168" fontId="2" fillId="0" borderId="10" xfId="0" applyNumberFormat="1" applyFont="1" applyBorder="1" applyAlignment="1" applyProtection="1">
      <alignment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167" fontId="41" fillId="0" borderId="10" xfId="0" applyNumberFormat="1" applyFont="1" applyFill="1" applyBorder="1" applyAlignment="1">
      <alignment vertical="center"/>
    </xf>
    <xf numFmtId="0" fontId="4" fillId="34" borderId="0" xfId="0" applyFont="1" applyFill="1" applyAlignment="1"/>
    <xf numFmtId="167" fontId="0" fillId="0" borderId="12" xfId="0" applyNumberFormat="1" applyFont="1" applyBorder="1" applyAlignment="1">
      <alignment vertical="center"/>
    </xf>
    <xf numFmtId="0" fontId="0" fillId="0" borderId="10" xfId="0" applyBorder="1" applyAlignment="1">
      <alignment horizontal="center"/>
    </xf>
    <xf numFmtId="4" fontId="0" fillId="30" borderId="10" xfId="0" applyNumberFormat="1" applyFill="1" applyBorder="1"/>
    <xf numFmtId="0" fontId="4" fillId="34" borderId="0" xfId="0" applyFont="1" applyFill="1" applyAlignment="1">
      <alignment horizontal="center"/>
    </xf>
    <xf numFmtId="0" fontId="0" fillId="0" borderId="18" xfId="0" applyBorder="1" applyAlignment="1">
      <alignment horizontal="right" vertical="center"/>
    </xf>
    <xf numFmtId="0" fontId="7" fillId="25" borderId="10" xfId="0" applyFont="1" applyFill="1" applyBorder="1" applyAlignment="1">
      <alignment horizontal="center" vertical="center" wrapText="1"/>
    </xf>
    <xf numFmtId="0" fontId="7" fillId="25" borderId="10" xfId="0" applyFont="1" applyFill="1" applyBorder="1" applyAlignment="1">
      <alignment horizontal="center" vertical="center"/>
    </xf>
    <xf numFmtId="0" fontId="40" fillId="25" borderId="10" xfId="0" applyFont="1" applyFill="1" applyBorder="1" applyAlignment="1">
      <alignment horizontal="left" vertical="center"/>
    </xf>
    <xf numFmtId="0" fontId="4" fillId="25" borderId="10" xfId="0" applyFont="1" applyFill="1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1" fillId="25" borderId="10" xfId="0" applyFont="1" applyFill="1" applyBorder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left" vertical="center"/>
    </xf>
    <xf numFmtId="0" fontId="40" fillId="25" borderId="14" xfId="0" applyFont="1" applyFill="1" applyBorder="1" applyAlignment="1">
      <alignment horizontal="left" vertical="center"/>
    </xf>
    <xf numFmtId="0" fontId="40" fillId="25" borderId="19" xfId="0" applyFont="1" applyFill="1" applyBorder="1" applyAlignment="1">
      <alignment horizontal="left" vertical="center"/>
    </xf>
    <xf numFmtId="49" fontId="4" fillId="34" borderId="0" xfId="0" applyNumberFormat="1" applyFont="1" applyFill="1" applyAlignment="1">
      <alignment horizontal="center"/>
    </xf>
    <xf numFmtId="0" fontId="7" fillId="25" borderId="14" xfId="0" applyFont="1" applyFill="1" applyBorder="1" applyAlignment="1">
      <alignment horizontal="center" vertical="center"/>
    </xf>
    <xf numFmtId="0" fontId="7" fillId="25" borderId="19" xfId="0" applyFont="1" applyFill="1" applyBorder="1" applyAlignment="1">
      <alignment horizontal="center" vertical="center"/>
    </xf>
    <xf numFmtId="0" fontId="41" fillId="25" borderId="14" xfId="0" applyFont="1" applyFill="1" applyBorder="1" applyAlignment="1">
      <alignment horizontal="left" vertical="center"/>
    </xf>
    <xf numFmtId="0" fontId="41" fillId="25" borderId="19" xfId="0" applyFont="1" applyFill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20" xfId="0" applyNumberFormat="1" applyFont="1" applyBorder="1" applyAlignment="1">
      <alignment horizontal="left" vertical="center"/>
    </xf>
    <xf numFmtId="49" fontId="4" fillId="0" borderId="19" xfId="0" applyNumberFormat="1" applyFont="1" applyBorder="1" applyAlignment="1">
      <alignment horizontal="left" vertical="center"/>
    </xf>
    <xf numFmtId="49" fontId="0" fillId="0" borderId="20" xfId="0" applyNumberFormat="1" applyBorder="1" applyAlignment="1">
      <alignment horizontal="center" vertical="center"/>
    </xf>
    <xf numFmtId="49" fontId="0" fillId="34" borderId="0" xfId="0" applyNumberFormat="1" applyFill="1" applyAlignment="1">
      <alignment horizontal="center" vertical="center"/>
    </xf>
    <xf numFmtId="0" fontId="4" fillId="25" borderId="14" xfId="0" applyFont="1" applyFill="1" applyBorder="1" applyAlignment="1">
      <alignment horizontal="left" vertical="center"/>
    </xf>
    <xf numFmtId="0" fontId="4" fillId="25" borderId="19" xfId="0" applyFont="1" applyFill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20" xfId="0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49" fontId="4" fillId="0" borderId="10" xfId="0" applyNumberFormat="1" applyFont="1" applyBorder="1" applyAlignment="1">
      <alignment vertical="center"/>
    </xf>
    <xf numFmtId="49" fontId="7" fillId="25" borderId="10" xfId="0" applyNumberFormat="1" applyFont="1" applyFill="1" applyBorder="1" applyAlignment="1">
      <alignment horizontal="center" vertical="center" wrapText="1"/>
    </xf>
    <xf numFmtId="0" fontId="40" fillId="0" borderId="10" xfId="45" applyFont="1" applyBorder="1" applyAlignment="1">
      <alignment horizontal="left"/>
    </xf>
    <xf numFmtId="167" fontId="40" fillId="0" borderId="15" xfId="45" applyNumberFormat="1" applyFont="1" applyBorder="1" applyAlignment="1">
      <alignment horizontal="center"/>
    </xf>
    <xf numFmtId="167" fontId="40" fillId="0" borderId="0" xfId="45" applyNumberFormat="1" applyFont="1" applyAlignment="1">
      <alignment horizontal="center"/>
    </xf>
    <xf numFmtId="0" fontId="4" fillId="0" borderId="10" xfId="45" applyFont="1" applyBorder="1" applyAlignment="1">
      <alignment horizontal="left"/>
    </xf>
    <xf numFmtId="0" fontId="4" fillId="25" borderId="10" xfId="45" applyFont="1" applyFill="1" applyBorder="1" applyAlignment="1">
      <alignment horizontal="left"/>
    </xf>
    <xf numFmtId="0" fontId="10" fillId="0" borderId="10" xfId="56" applyBorder="1" applyAlignment="1">
      <alignment horizontal="center"/>
    </xf>
    <xf numFmtId="0" fontId="7" fillId="0" borderId="10" xfId="45" applyFont="1" applyBorder="1" applyAlignment="1">
      <alignment horizontal="left"/>
    </xf>
    <xf numFmtId="0" fontId="7" fillId="26" borderId="10" xfId="45" applyFont="1" applyFill="1" applyBorder="1" applyAlignment="1">
      <alignment horizontal="left"/>
    </xf>
    <xf numFmtId="0" fontId="7" fillId="28" borderId="10" xfId="45" applyFont="1" applyFill="1" applyBorder="1" applyAlignment="1">
      <alignment horizontal="left"/>
    </xf>
    <xf numFmtId="0" fontId="7" fillId="27" borderId="10" xfId="45" applyFont="1" applyFill="1" applyBorder="1" applyAlignment="1">
      <alignment horizontal="left"/>
    </xf>
    <xf numFmtId="0" fontId="10" fillId="0" borderId="11" xfId="56" applyBorder="1" applyAlignment="1">
      <alignment horizontal="center"/>
    </xf>
    <xf numFmtId="0" fontId="10" fillId="0" borderId="16" xfId="56" applyBorder="1" applyAlignment="1">
      <alignment horizontal="center"/>
    </xf>
    <xf numFmtId="0" fontId="10" fillId="34" borderId="0" xfId="56" applyFill="1" applyAlignment="1">
      <alignment horizontal="center"/>
    </xf>
    <xf numFmtId="0" fontId="9" fillId="34" borderId="0" xfId="56" applyFont="1" applyFill="1" applyAlignment="1">
      <alignment horizontal="center"/>
    </xf>
    <xf numFmtId="0" fontId="2" fillId="34" borderId="0" xfId="45" applyFill="1" applyAlignment="1">
      <alignment horizontal="center"/>
    </xf>
    <xf numFmtId="0" fontId="51" fillId="0" borderId="10" xfId="45" applyFont="1" applyBorder="1" applyAlignment="1">
      <alignment horizontal="center" vertical="center"/>
    </xf>
    <xf numFmtId="0" fontId="7" fillId="0" borderId="10" xfId="45" applyFont="1" applyBorder="1" applyAlignment="1">
      <alignment horizontal="center" vertical="center"/>
    </xf>
    <xf numFmtId="0" fontId="10" fillId="34" borderId="18" xfId="56" applyFill="1" applyBorder="1" applyAlignment="1">
      <alignment horizontal="center"/>
    </xf>
    <xf numFmtId="0" fontId="9" fillId="0" borderId="14" xfId="56" applyFont="1" applyBorder="1" applyAlignment="1">
      <alignment horizontal="center" vertical="center"/>
    </xf>
    <xf numFmtId="0" fontId="9" fillId="0" borderId="10" xfId="56" applyFont="1" applyBorder="1" applyAlignment="1">
      <alignment horizontal="center" vertical="center"/>
    </xf>
    <xf numFmtId="0" fontId="10" fillId="0" borderId="12" xfId="56" applyBorder="1" applyAlignment="1">
      <alignment horizontal="center"/>
    </xf>
    <xf numFmtId="0" fontId="41" fillId="0" borderId="10" xfId="56" applyFont="1" applyBorder="1"/>
    <xf numFmtId="0" fontId="9" fillId="0" borderId="10" xfId="56" applyFont="1" applyBorder="1" applyAlignment="1">
      <alignment horizontal="center"/>
    </xf>
    <xf numFmtId="0" fontId="9" fillId="0" borderId="10" xfId="56" applyFont="1" applyBorder="1"/>
    <xf numFmtId="0" fontId="9" fillId="0" borderId="0" xfId="56" applyFont="1"/>
    <xf numFmtId="0" fontId="40" fillId="0" borderId="10" xfId="45" applyFont="1" applyBorder="1" applyAlignment="1">
      <alignment horizontal="left" vertical="center" wrapText="1"/>
    </xf>
    <xf numFmtId="0" fontId="10" fillId="34" borderId="15" xfId="56" applyFill="1" applyBorder="1" applyAlignment="1">
      <alignment horizontal="center"/>
    </xf>
    <xf numFmtId="0" fontId="10" fillId="34" borderId="23" xfId="56" applyFill="1" applyBorder="1" applyAlignment="1">
      <alignment horizontal="center"/>
    </xf>
    <xf numFmtId="0" fontId="40" fillId="0" borderId="12" xfId="45" applyFont="1" applyBorder="1" applyAlignment="1">
      <alignment horizontal="left"/>
    </xf>
    <xf numFmtId="0" fontId="2" fillId="34" borderId="23" xfId="45" applyFill="1" applyBorder="1" applyAlignment="1">
      <alignment horizontal="center"/>
    </xf>
    <xf numFmtId="0" fontId="7" fillId="38" borderId="10" xfId="0" applyFont="1" applyFill="1" applyBorder="1" applyAlignment="1">
      <alignment horizontal="center" vertical="center" wrapText="1"/>
    </xf>
    <xf numFmtId="49" fontId="42" fillId="38" borderId="14" xfId="0" applyNumberFormat="1" applyFont="1" applyFill="1" applyBorder="1" applyAlignment="1">
      <alignment horizontal="left" vertical="center"/>
    </xf>
    <xf numFmtId="49" fontId="42" fillId="38" borderId="20" xfId="0" applyNumberFormat="1" applyFont="1" applyFill="1" applyBorder="1" applyAlignment="1">
      <alignment horizontal="left" vertical="center"/>
    </xf>
    <xf numFmtId="49" fontId="42" fillId="38" borderId="19" xfId="0" applyNumberFormat="1" applyFont="1" applyFill="1" applyBorder="1" applyAlignment="1">
      <alignment horizontal="left" vertical="center"/>
    </xf>
    <xf numFmtId="0" fontId="9" fillId="34" borderId="0" xfId="42" applyFont="1" applyFill="1" applyAlignment="1">
      <alignment horizontal="center" vertical="center"/>
    </xf>
    <xf numFmtId="49" fontId="9" fillId="34" borderId="0" xfId="0" applyNumberFormat="1" applyFont="1" applyFill="1" applyAlignment="1">
      <alignment horizontal="center" vertical="center"/>
    </xf>
    <xf numFmtId="49" fontId="17" fillId="24" borderId="0" xfId="0" applyNumberFormat="1" applyFont="1" applyFill="1" applyAlignment="1">
      <alignment horizontal="center" vertical="center"/>
    </xf>
    <xf numFmtId="49" fontId="0" fillId="24" borderId="0" xfId="0" applyNumberFormat="1" applyFill="1" applyAlignment="1">
      <alignment horizontal="right" vertical="center"/>
    </xf>
    <xf numFmtId="0" fontId="7" fillId="38" borderId="14" xfId="0" applyFont="1" applyFill="1" applyBorder="1" applyAlignment="1">
      <alignment horizontal="center" vertical="center" wrapText="1"/>
    </xf>
    <xf numFmtId="0" fontId="7" fillId="38" borderId="20" xfId="0" applyFont="1" applyFill="1" applyBorder="1" applyAlignment="1">
      <alignment horizontal="center" vertical="center" wrapText="1"/>
    </xf>
    <xf numFmtId="0" fontId="7" fillId="38" borderId="19" xfId="0" applyFont="1" applyFill="1" applyBorder="1" applyAlignment="1">
      <alignment horizontal="center" vertical="center" wrapText="1"/>
    </xf>
    <xf numFmtId="0" fontId="7" fillId="38" borderId="10" xfId="0" applyFont="1" applyFill="1" applyBorder="1" applyAlignment="1">
      <alignment horizontal="center" vertical="center"/>
    </xf>
    <xf numFmtId="3" fontId="7" fillId="38" borderId="10" xfId="0" applyNumberFormat="1" applyFont="1" applyFill="1" applyBorder="1" applyAlignment="1">
      <alignment horizontal="center" vertical="center" wrapText="1"/>
    </xf>
    <xf numFmtId="0" fontId="9" fillId="38" borderId="14" xfId="0" applyFont="1" applyFill="1" applyBorder="1" applyAlignment="1">
      <alignment horizontal="center" vertical="center" wrapText="1"/>
    </xf>
    <xf numFmtId="0" fontId="9" fillId="38" borderId="20" xfId="0" applyFont="1" applyFill="1" applyBorder="1" applyAlignment="1">
      <alignment horizontal="center" vertical="center" wrapText="1"/>
    </xf>
    <xf numFmtId="0" fontId="9" fillId="38" borderId="19" xfId="0" applyFont="1" applyFill="1" applyBorder="1" applyAlignment="1">
      <alignment horizontal="center" vertical="center" wrapText="1"/>
    </xf>
    <xf numFmtId="0" fontId="9" fillId="38" borderId="11" xfId="0" applyFont="1" applyFill="1" applyBorder="1" applyAlignment="1">
      <alignment horizontal="center" vertical="center" wrapText="1"/>
    </xf>
    <xf numFmtId="0" fontId="9" fillId="38" borderId="16" xfId="0" applyFont="1" applyFill="1" applyBorder="1" applyAlignment="1">
      <alignment horizontal="center" vertical="center" wrapText="1"/>
    </xf>
    <xf numFmtId="0" fontId="9" fillId="38" borderId="12" xfId="0" applyFont="1" applyFill="1" applyBorder="1" applyAlignment="1">
      <alignment horizontal="center" vertical="center" wrapText="1"/>
    </xf>
    <xf numFmtId="0" fontId="46" fillId="0" borderId="21" xfId="0" applyFont="1" applyBorder="1" applyAlignment="1">
      <alignment horizontal="right" vertical="center"/>
    </xf>
    <xf numFmtId="0" fontId="9" fillId="34" borderId="0" xfId="42" applyFont="1" applyFill="1" applyAlignment="1">
      <alignment horizontal="center"/>
    </xf>
    <xf numFmtId="0" fontId="9" fillId="34" borderId="0" xfId="0" applyFont="1" applyFill="1" applyAlignment="1">
      <alignment horizontal="center"/>
    </xf>
    <xf numFmtId="0" fontId="42" fillId="24" borderId="0" xfId="0" applyFont="1" applyFill="1" applyAlignment="1">
      <alignment horizontal="center"/>
    </xf>
    <xf numFmtId="0" fontId="47" fillId="24" borderId="0" xfId="0" applyFont="1" applyFill="1" applyAlignment="1">
      <alignment horizontal="center"/>
    </xf>
    <xf numFmtId="0" fontId="0" fillId="24" borderId="18" xfId="0" applyFill="1" applyBorder="1" applyAlignment="1">
      <alignment horizontal="right"/>
    </xf>
    <xf numFmtId="0" fontId="7" fillId="25" borderId="11" xfId="0" applyFont="1" applyFill="1" applyBorder="1" applyAlignment="1">
      <alignment horizontal="center" vertical="center" wrapText="1"/>
    </xf>
    <xf numFmtId="0" fontId="7" fillId="25" borderId="16" xfId="0" applyFont="1" applyFill="1" applyBorder="1" applyAlignment="1">
      <alignment horizontal="center" vertical="center" wrapText="1"/>
    </xf>
    <xf numFmtId="0" fontId="7" fillId="25" borderId="12" xfId="0" applyFont="1" applyFill="1" applyBorder="1" applyAlignment="1">
      <alignment horizontal="center" vertical="center" wrapText="1"/>
    </xf>
    <xf numFmtId="0" fontId="7" fillId="38" borderId="20" xfId="0" applyFont="1" applyFill="1" applyBorder="1" applyAlignment="1">
      <alignment horizontal="center" vertical="center"/>
    </xf>
    <xf numFmtId="0" fontId="7" fillId="38" borderId="19" xfId="0" applyFont="1" applyFill="1" applyBorder="1" applyAlignment="1">
      <alignment horizontal="center" vertical="center"/>
    </xf>
    <xf numFmtId="0" fontId="7" fillId="38" borderId="11" xfId="0" applyFont="1" applyFill="1" applyBorder="1" applyAlignment="1">
      <alignment horizontal="center" vertical="center"/>
    </xf>
    <xf numFmtId="0" fontId="7" fillId="38" borderId="16" xfId="0" applyFont="1" applyFill="1" applyBorder="1" applyAlignment="1">
      <alignment horizontal="center" vertical="center"/>
    </xf>
    <xf numFmtId="0" fontId="7" fillId="38" borderId="12" xfId="0" applyFont="1" applyFill="1" applyBorder="1" applyAlignment="1">
      <alignment horizontal="center" vertical="center"/>
    </xf>
    <xf numFmtId="0" fontId="9" fillId="38" borderId="11" xfId="42" applyFont="1" applyFill="1" applyBorder="1" applyAlignment="1">
      <alignment horizontal="center" vertical="center"/>
    </xf>
    <xf numFmtId="0" fontId="9" fillId="38" borderId="16" xfId="42" applyFont="1" applyFill="1" applyBorder="1" applyAlignment="1">
      <alignment horizontal="center" vertical="center"/>
    </xf>
    <xf numFmtId="0" fontId="9" fillId="38" borderId="12" xfId="42" applyFont="1" applyFill="1" applyBorder="1" applyAlignment="1">
      <alignment horizontal="center" vertical="center"/>
    </xf>
    <xf numFmtId="0" fontId="9" fillId="34" borderId="0" xfId="0" applyFont="1" applyFill="1" applyAlignment="1">
      <alignment horizontal="center" vertical="center"/>
    </xf>
    <xf numFmtId="0" fontId="9" fillId="38" borderId="20" xfId="0" applyFont="1" applyFill="1" applyBorder="1" applyAlignment="1">
      <alignment horizontal="center" vertical="center"/>
    </xf>
    <xf numFmtId="0" fontId="9" fillId="38" borderId="19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9" fillId="38" borderId="17" xfId="0" applyFont="1" applyFill="1" applyBorder="1" applyAlignment="1">
      <alignment horizontal="center" vertical="center" wrapText="1"/>
    </xf>
    <xf numFmtId="0" fontId="9" fillId="38" borderId="15" xfId="0" applyFont="1" applyFill="1" applyBorder="1" applyAlignment="1">
      <alignment horizontal="center" vertical="center" wrapText="1"/>
    </xf>
    <xf numFmtId="0" fontId="9" fillId="38" borderId="22" xfId="0" applyFont="1" applyFill="1" applyBorder="1" applyAlignment="1">
      <alignment horizontal="center" vertical="center" wrapText="1"/>
    </xf>
    <xf numFmtId="0" fontId="11" fillId="38" borderId="16" xfId="0" applyFont="1" applyFill="1" applyBorder="1" applyAlignment="1">
      <alignment horizontal="center" vertical="center" wrapText="1"/>
    </xf>
    <xf numFmtId="0" fontId="11" fillId="38" borderId="12" xfId="0" applyFont="1" applyFill="1" applyBorder="1" applyAlignment="1">
      <alignment horizontal="center" vertical="center" wrapText="1"/>
    </xf>
    <xf numFmtId="0" fontId="0" fillId="34" borderId="0" xfId="0" applyFill="1" applyAlignment="1">
      <alignment horizontal="right" vertical="center"/>
    </xf>
    <xf numFmtId="0" fontId="9" fillId="34" borderId="0" xfId="54" applyFont="1" applyFill="1" applyAlignment="1">
      <alignment horizontal="center" vertical="center"/>
    </xf>
    <xf numFmtId="0" fontId="47" fillId="24" borderId="0" xfId="0" applyFont="1" applyFill="1" applyAlignment="1">
      <alignment horizontal="center" vertical="center"/>
    </xf>
    <xf numFmtId="0" fontId="0" fillId="34" borderId="18" xfId="0" applyFill="1" applyBorder="1" applyAlignment="1">
      <alignment horizontal="right" vertical="center"/>
    </xf>
    <xf numFmtId="3" fontId="7" fillId="38" borderId="10" xfId="0" applyNumberFormat="1" applyFont="1" applyFill="1" applyBorder="1" applyAlignment="1">
      <alignment horizontal="center" vertical="center"/>
    </xf>
    <xf numFmtId="0" fontId="11" fillId="38" borderId="10" xfId="0" applyFont="1" applyFill="1" applyBorder="1" applyAlignment="1">
      <alignment horizontal="center" vertical="center" wrapText="1"/>
    </xf>
    <xf numFmtId="0" fontId="9" fillId="38" borderId="10" xfId="0" applyFont="1" applyFill="1" applyBorder="1" applyAlignment="1">
      <alignment horizontal="center" vertical="center" wrapText="1"/>
    </xf>
    <xf numFmtId="0" fontId="9" fillId="38" borderId="10" xfId="54" applyFont="1" applyFill="1" applyBorder="1" applyAlignment="1">
      <alignment horizontal="center" vertical="center"/>
    </xf>
    <xf numFmtId="0" fontId="53" fillId="38" borderId="10" xfId="0" applyFont="1" applyFill="1" applyBorder="1" applyAlignment="1">
      <alignment horizontal="center" vertical="center" wrapText="1"/>
    </xf>
    <xf numFmtId="0" fontId="10" fillId="24" borderId="10" xfId="39" applyFont="1" applyFill="1" applyBorder="1" applyAlignment="1">
      <alignment horizontal="right" vertical="center"/>
    </xf>
    <xf numFmtId="0" fontId="10" fillId="24" borderId="10" xfId="39" applyFont="1" applyFill="1" applyBorder="1" applyAlignment="1">
      <alignment horizontal="center" vertical="center"/>
    </xf>
    <xf numFmtId="0" fontId="10" fillId="24" borderId="10" xfId="39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 wrapText="1"/>
    </xf>
    <xf numFmtId="0" fontId="7" fillId="25" borderId="17" xfId="0" applyFont="1" applyFill="1" applyBorder="1" applyAlignment="1">
      <alignment horizontal="center" vertical="center"/>
    </xf>
    <xf numFmtId="0" fontId="7" fillId="25" borderId="21" xfId="0" applyFont="1" applyFill="1" applyBorder="1" applyAlignment="1">
      <alignment horizontal="center" vertical="center"/>
    </xf>
    <xf numFmtId="0" fontId="7" fillId="25" borderId="13" xfId="0" applyFont="1" applyFill="1" applyBorder="1" applyAlignment="1">
      <alignment horizontal="center" vertical="center"/>
    </xf>
    <xf numFmtId="0" fontId="7" fillId="25" borderId="22" xfId="0" applyFont="1" applyFill="1" applyBorder="1" applyAlignment="1">
      <alignment horizontal="center" vertical="center"/>
    </xf>
    <xf numFmtId="0" fontId="7" fillId="25" borderId="18" xfId="0" applyFont="1" applyFill="1" applyBorder="1" applyAlignment="1">
      <alignment horizontal="center" vertical="center"/>
    </xf>
    <xf numFmtId="0" fontId="7" fillId="25" borderId="2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7" fillId="46" borderId="10" xfId="0" applyFont="1" applyFill="1" applyBorder="1" applyAlignment="1">
      <alignment horizontal="left" vertical="center"/>
    </xf>
    <xf numFmtId="0" fontId="4" fillId="34" borderId="0" xfId="0" applyFont="1" applyFill="1" applyAlignment="1">
      <alignment horizontal="center" vertical="center"/>
    </xf>
    <xf numFmtId="0" fontId="0" fillId="34" borderId="0" xfId="0" applyFill="1" applyAlignment="1">
      <alignment vertical="center"/>
    </xf>
    <xf numFmtId="0" fontId="0" fillId="34" borderId="0" xfId="0" applyFill="1" applyAlignment="1">
      <alignment horizontal="center" vertical="center"/>
    </xf>
    <xf numFmtId="0" fontId="49" fillId="0" borderId="21" xfId="0" applyFont="1" applyBorder="1" applyAlignment="1">
      <alignment horizontal="right"/>
    </xf>
    <xf numFmtId="0" fontId="49" fillId="0" borderId="0" xfId="0" applyFont="1" applyAlignment="1">
      <alignment horizontal="right"/>
    </xf>
    <xf numFmtId="0" fontId="0" fillId="34" borderId="0" xfId="0" applyFill="1"/>
    <xf numFmtId="49" fontId="7" fillId="25" borderId="10" xfId="0" applyNumberFormat="1" applyFont="1" applyFill="1" applyBorder="1" applyAlignment="1">
      <alignment horizontal="center" wrapText="1"/>
    </xf>
    <xf numFmtId="0" fontId="7" fillId="34" borderId="0" xfId="0" applyFont="1" applyFill="1" applyAlignment="1">
      <alignment horizontal="center"/>
    </xf>
    <xf numFmtId="0" fontId="7" fillId="34" borderId="0" xfId="0" applyFont="1" applyFill="1" applyAlignment="1">
      <alignment horizontal="center" wrapText="1"/>
    </xf>
    <xf numFmtId="0" fontId="7" fillId="28" borderId="10" xfId="0" applyFont="1" applyFill="1" applyBorder="1" applyAlignment="1">
      <alignment horizontal="center"/>
    </xf>
    <xf numFmtId="0" fontId="7" fillId="0" borderId="10" xfId="0" applyFont="1" applyBorder="1" applyAlignment="1">
      <alignment horizontal="left" vertical="center" wrapText="1"/>
    </xf>
    <xf numFmtId="168" fontId="0" fillId="0" borderId="18" xfId="0" applyNumberFormat="1" applyBorder="1" applyAlignment="1">
      <alignment horizontal="right" vertical="center" wrapText="1"/>
    </xf>
    <xf numFmtId="0" fontId="7" fillId="34" borderId="0" xfId="0" applyFont="1" applyFill="1" applyAlignment="1">
      <alignment horizontal="center" vertical="center" wrapText="1"/>
    </xf>
    <xf numFmtId="168" fontId="7" fillId="38" borderId="10" xfId="0" applyNumberFormat="1" applyFont="1" applyFill="1" applyBorder="1" applyAlignment="1">
      <alignment horizontal="center" vertical="center" wrapText="1"/>
    </xf>
    <xf numFmtId="168" fontId="0" fillId="0" borderId="0" xfId="0" applyNumberFormat="1" applyAlignment="1">
      <alignment horizontal="right" vertical="center" wrapText="1"/>
    </xf>
    <xf numFmtId="168" fontId="13" fillId="0" borderId="0" xfId="0" applyNumberFormat="1" applyFont="1" applyAlignment="1">
      <alignment horizontal="right" vertical="center" wrapText="1"/>
    </xf>
    <xf numFmtId="3" fontId="7" fillId="38" borderId="14" xfId="0" applyNumberFormat="1" applyFont="1" applyFill="1" applyBorder="1" applyAlignment="1">
      <alignment horizontal="center" vertical="center"/>
    </xf>
    <xf numFmtId="3" fontId="7" fillId="38" borderId="20" xfId="0" applyNumberFormat="1" applyFont="1" applyFill="1" applyBorder="1" applyAlignment="1">
      <alignment horizontal="center" vertical="center"/>
    </xf>
    <xf numFmtId="3" fontId="7" fillId="38" borderId="19" xfId="0" applyNumberFormat="1" applyFont="1" applyFill="1" applyBorder="1" applyAlignment="1">
      <alignment horizontal="center" vertical="center"/>
    </xf>
    <xf numFmtId="168" fontId="8" fillId="24" borderId="0" xfId="0" applyNumberFormat="1" applyFont="1" applyFill="1" applyAlignment="1">
      <alignment horizontal="right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0" fillId="34" borderId="0" xfId="0" applyFont="1" applyFill="1" applyAlignment="1">
      <alignment horizontal="center"/>
    </xf>
    <xf numFmtId="0" fontId="60" fillId="34" borderId="0" xfId="0" applyFont="1" applyFill="1" applyAlignment="1">
      <alignment horizontal="center" vertical="center" wrapText="1"/>
    </xf>
    <xf numFmtId="0" fontId="60" fillId="25" borderId="10" xfId="0" applyFont="1" applyFill="1" applyBorder="1" applyAlignment="1">
      <alignment horizontal="center" vertical="center" wrapText="1"/>
    </xf>
    <xf numFmtId="0" fontId="13" fillId="34" borderId="0" xfId="0" applyFont="1" applyFill="1" applyAlignment="1">
      <alignment horizontal="center" vertical="center" wrapText="1"/>
    </xf>
    <xf numFmtId="168" fontId="0" fillId="0" borderId="18" xfId="0" applyNumberFormat="1" applyBorder="1" applyAlignment="1">
      <alignment horizontal="right" vertical="center"/>
    </xf>
    <xf numFmtId="168" fontId="13" fillId="0" borderId="18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41" fillId="27" borderId="10" xfId="0" applyFont="1" applyFill="1" applyBorder="1" applyAlignment="1">
      <alignment horizontal="left"/>
    </xf>
    <xf numFmtId="0" fontId="41" fillId="26" borderId="10" xfId="0" applyFont="1" applyFill="1" applyBorder="1" applyAlignment="1">
      <alignment horizontal="left"/>
    </xf>
    <xf numFmtId="0" fontId="41" fillId="0" borderId="10" xfId="0" applyFont="1" applyBorder="1" applyAlignment="1">
      <alignment horizontal="left"/>
    </xf>
    <xf numFmtId="0" fontId="0" fillId="0" borderId="10" xfId="0" applyBorder="1" applyAlignment="1">
      <alignment horizontal="center"/>
    </xf>
    <xf numFmtId="3" fontId="13" fillId="0" borderId="10" xfId="0" applyNumberFormat="1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1" fillId="25" borderId="10" xfId="0" applyFont="1" applyFill="1" applyBorder="1" applyAlignment="1">
      <alignment horizontal="left"/>
    </xf>
    <xf numFmtId="3" fontId="2" fillId="24" borderId="21" xfId="0" applyNumberFormat="1" applyFont="1" applyFill="1" applyBorder="1" applyAlignment="1">
      <alignment horizontal="center"/>
    </xf>
    <xf numFmtId="3" fontId="2" fillId="24" borderId="13" xfId="0" applyNumberFormat="1" applyFont="1" applyFill="1" applyBorder="1" applyAlignment="1">
      <alignment horizontal="center"/>
    </xf>
    <xf numFmtId="3" fontId="2" fillId="24" borderId="18" xfId="0" applyNumberFormat="1" applyFont="1" applyFill="1" applyBorder="1" applyAlignment="1">
      <alignment horizontal="center"/>
    </xf>
    <xf numFmtId="3" fontId="2" fillId="24" borderId="24" xfId="0" applyNumberFormat="1" applyFont="1" applyFill="1" applyBorder="1" applyAlignment="1">
      <alignment horizontal="center"/>
    </xf>
    <xf numFmtId="0" fontId="7" fillId="26" borderId="14" xfId="0" applyFont="1" applyFill="1" applyBorder="1" applyAlignment="1">
      <alignment horizontal="left"/>
    </xf>
    <xf numFmtId="0" fontId="7" fillId="26" borderId="20" xfId="0" applyFont="1" applyFill="1" applyBorder="1" applyAlignment="1">
      <alignment horizontal="left"/>
    </xf>
    <xf numFmtId="0" fontId="7" fillId="28" borderId="14" xfId="45" applyFont="1" applyFill="1" applyBorder="1" applyAlignment="1">
      <alignment horizontal="left"/>
    </xf>
    <xf numFmtId="0" fontId="7" fillId="28" borderId="20" xfId="45" applyFont="1" applyFill="1" applyBorder="1" applyAlignment="1">
      <alignment horizontal="left"/>
    </xf>
    <xf numFmtId="0" fontId="41" fillId="0" borderId="14" xfId="0" applyFont="1" applyBorder="1" applyAlignment="1">
      <alignment horizontal="left"/>
    </xf>
    <xf numFmtId="0" fontId="41" fillId="0" borderId="20" xfId="0" applyFont="1" applyBorder="1" applyAlignment="1">
      <alignment horizontal="left"/>
    </xf>
    <xf numFmtId="3" fontId="2" fillId="24" borderId="10" xfId="0" applyNumberFormat="1" applyFont="1" applyFill="1" applyBorder="1" applyAlignment="1">
      <alignment horizontal="center"/>
    </xf>
    <xf numFmtId="0" fontId="7" fillId="26" borderId="10" xfId="0" applyFont="1" applyFill="1" applyBorder="1" applyAlignment="1">
      <alignment horizontal="left"/>
    </xf>
    <xf numFmtId="0" fontId="7" fillId="24" borderId="10" xfId="0" applyFont="1" applyFill="1" applyBorder="1" applyAlignment="1">
      <alignment horizontal="center" vertical="center"/>
    </xf>
    <xf numFmtId="3" fontId="2" fillId="24" borderId="0" xfId="0" applyNumberFormat="1" applyFont="1" applyFill="1" applyAlignment="1">
      <alignment horizontal="center"/>
    </xf>
    <xf numFmtId="3" fontId="2" fillId="24" borderId="23" xfId="0" applyNumberFormat="1" applyFont="1" applyFill="1" applyBorder="1" applyAlignment="1">
      <alignment horizontal="center"/>
    </xf>
    <xf numFmtId="0" fontId="7" fillId="35" borderId="10" xfId="0" applyFont="1" applyFill="1" applyBorder="1" applyAlignment="1">
      <alignment horizontal="left"/>
    </xf>
    <xf numFmtId="0" fontId="7" fillId="0" borderId="1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1" fillId="28" borderId="10" xfId="45" applyFont="1" applyFill="1" applyBorder="1" applyAlignment="1">
      <alignment horizontal="left"/>
    </xf>
    <xf numFmtId="0" fontId="49" fillId="28" borderId="10" xfId="45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3" fontId="9" fillId="47" borderId="17" xfId="0" applyNumberFormat="1" applyFont="1" applyFill="1" applyBorder="1" applyAlignment="1">
      <alignment horizontal="right"/>
    </xf>
    <xf numFmtId="3" fontId="9" fillId="47" borderId="21" xfId="0" applyNumberFormat="1" applyFont="1" applyFill="1" applyBorder="1" applyAlignment="1">
      <alignment horizontal="right"/>
    </xf>
    <xf numFmtId="3" fontId="9" fillId="47" borderId="13" xfId="0" applyNumberFormat="1" applyFont="1" applyFill="1" applyBorder="1" applyAlignment="1">
      <alignment horizontal="right"/>
    </xf>
    <xf numFmtId="0" fontId="38" fillId="39" borderId="10" xfId="0" applyFont="1" applyFill="1" applyBorder="1" applyAlignment="1">
      <alignment horizontal="center" vertical="center"/>
    </xf>
    <xf numFmtId="0" fontId="9" fillId="0" borderId="0" xfId="55" applyFont="1" applyAlignment="1">
      <alignment horizontal="center"/>
    </xf>
    <xf numFmtId="0" fontId="9" fillId="24" borderId="0" xfId="55" applyFont="1" applyFill="1" applyAlignment="1">
      <alignment horizontal="center"/>
    </xf>
    <xf numFmtId="2" fontId="0" fillId="34" borderId="0" xfId="0" applyNumberFormat="1" applyFill="1" applyAlignment="1">
      <alignment horizontal="right" vertical="center"/>
    </xf>
    <xf numFmtId="2" fontId="2" fillId="34" borderId="0" xfId="0" applyNumberFormat="1" applyFont="1" applyFill="1" applyAlignment="1">
      <alignment horizontal="right" vertical="center"/>
    </xf>
    <xf numFmtId="49" fontId="38" fillId="33" borderId="10" xfId="0" applyNumberFormat="1" applyFont="1" applyFill="1" applyBorder="1" applyAlignment="1">
      <alignment horizontal="center" vertical="center" wrapText="1"/>
    </xf>
    <xf numFmtId="0" fontId="38" fillId="33" borderId="10" xfId="0" applyFont="1" applyFill="1" applyBorder="1" applyAlignment="1">
      <alignment horizontal="center" vertical="center" wrapText="1"/>
    </xf>
    <xf numFmtId="0" fontId="38" fillId="26" borderId="10" xfId="0" applyFont="1" applyFill="1" applyBorder="1" applyAlignment="1">
      <alignment horizontal="center" vertical="center"/>
    </xf>
    <xf numFmtId="0" fontId="38" fillId="34" borderId="0" xfId="0" applyFont="1" applyFill="1" applyAlignment="1">
      <alignment horizontal="center" vertical="center"/>
    </xf>
    <xf numFmtId="0" fontId="38" fillId="35" borderId="10" xfId="0" applyFont="1" applyFill="1" applyBorder="1" applyAlignment="1">
      <alignment horizontal="center" vertical="center"/>
    </xf>
    <xf numFmtId="49" fontId="65" fillId="33" borderId="11" xfId="0" applyNumberFormat="1" applyFont="1" applyFill="1" applyBorder="1" applyAlignment="1">
      <alignment horizontal="center" vertical="center" wrapText="1"/>
    </xf>
    <xf numFmtId="49" fontId="65" fillId="33" borderId="12" xfId="0" applyNumberFormat="1" applyFont="1" applyFill="1" applyBorder="1" applyAlignment="1">
      <alignment horizontal="center" vertical="center" wrapText="1"/>
    </xf>
    <xf numFmtId="0" fontId="65" fillId="33" borderId="11" xfId="0" applyFont="1" applyFill="1" applyBorder="1" applyAlignment="1">
      <alignment horizontal="center" vertical="center" wrapText="1"/>
    </xf>
    <xf numFmtId="0" fontId="65" fillId="33" borderId="12" xfId="0" applyFont="1" applyFill="1" applyBorder="1" applyAlignment="1">
      <alignment horizontal="center" vertical="center" wrapText="1"/>
    </xf>
    <xf numFmtId="0" fontId="65" fillId="26" borderId="14" xfId="0" applyFont="1" applyFill="1" applyBorder="1" applyAlignment="1">
      <alignment horizontal="center" vertical="center"/>
    </xf>
    <xf numFmtId="0" fontId="65" fillId="26" borderId="20" xfId="0" applyFont="1" applyFill="1" applyBorder="1" applyAlignment="1">
      <alignment horizontal="center" vertical="center"/>
    </xf>
    <xf numFmtId="0" fontId="65" fillId="26" borderId="19" xfId="0" applyFont="1" applyFill="1" applyBorder="1" applyAlignment="1">
      <alignment horizontal="center" vertical="center"/>
    </xf>
    <xf numFmtId="0" fontId="9" fillId="0" borderId="0" xfId="54" applyFont="1" applyAlignment="1">
      <alignment horizontal="center"/>
    </xf>
    <xf numFmtId="0" fontId="9" fillId="24" borderId="0" xfId="54" applyFont="1" applyFill="1" applyAlignment="1">
      <alignment horizontal="center"/>
    </xf>
    <xf numFmtId="0" fontId="10" fillId="24" borderId="18" xfId="54" applyFill="1" applyBorder="1" applyAlignment="1">
      <alignment horizontal="center"/>
    </xf>
    <xf numFmtId="49" fontId="65" fillId="33" borderId="10" xfId="0" applyNumberFormat="1" applyFont="1" applyFill="1" applyBorder="1" applyAlignment="1">
      <alignment horizontal="center" vertical="center" wrapText="1"/>
    </xf>
    <xf numFmtId="0" fontId="65" fillId="33" borderId="10" xfId="0" applyFont="1" applyFill="1" applyBorder="1" applyAlignment="1">
      <alignment horizontal="center" vertical="center" wrapText="1"/>
    </xf>
    <xf numFmtId="0" fontId="65" fillId="30" borderId="10" xfId="0" applyFont="1" applyFill="1" applyBorder="1" applyAlignment="1">
      <alignment horizontal="center" vertical="center"/>
    </xf>
  </cellXfs>
  <cellStyles count="57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/>
    <cellStyle name="Ezres 2" xfId="51" xr:uid="{00000000-0005-0000-0000-000020000000}"/>
    <cellStyle name="Figyelmeztetés" xfId="27" builtinId="11" customBuiltin="1"/>
    <cellStyle name="Hivatkozott cella" xfId="28" builtinId="24" customBuiltin="1"/>
    <cellStyle name="Jegyzet" xfId="29" builtinId="10" customBuiltin="1"/>
    <cellStyle name="Jegyzet 2" xfId="52" xr:uid="{00000000-0005-0000-0000-000024000000}"/>
    <cellStyle name="Jelölőszín 1" xfId="30" builtinId="29" customBuiltin="1"/>
    <cellStyle name="Jelölőszín 2" xfId="31" builtinId="33" customBuiltin="1"/>
    <cellStyle name="Jelölőszín 3" xfId="32" builtinId="37" customBuiltin="1"/>
    <cellStyle name="Jelölőszín 4" xfId="33" builtinId="41" customBuiltin="1"/>
    <cellStyle name="Jelölőszín 5" xfId="34" builtinId="45" customBuiltin="1"/>
    <cellStyle name="Jelölőszín 6" xfId="35" builtinId="49" customBuiltin="1"/>
    <cellStyle name="Jó" xfId="36" builtinId="26" customBuiltin="1"/>
    <cellStyle name="Kimenet" xfId="37" builtinId="21" customBuiltin="1"/>
    <cellStyle name="Magyarázó szöveg" xfId="38" builtinId="53" customBuiltin="1"/>
    <cellStyle name="Normál" xfId="0" builtinId="0"/>
    <cellStyle name="Normál 2" xfId="39" xr:uid="{00000000-0005-0000-0000-000029000000}"/>
    <cellStyle name="Normál 2 2" xfId="40" xr:uid="{00000000-0005-0000-0000-00002A000000}"/>
    <cellStyle name="Normál 2 2 2" xfId="54" xr:uid="{00000000-0005-0000-0000-00002B000000}"/>
    <cellStyle name="Normál 2 3" xfId="53" xr:uid="{00000000-0005-0000-0000-00002C000000}"/>
    <cellStyle name="Normál 2_KKTÖT Zárszámadás 2011" xfId="41" xr:uid="{00000000-0005-0000-0000-00002D000000}"/>
    <cellStyle name="Normál 3" xfId="42" xr:uid="{00000000-0005-0000-0000-00002E000000}"/>
    <cellStyle name="Normál 4" xfId="43" xr:uid="{00000000-0005-0000-0000-00002F000000}"/>
    <cellStyle name="Normál 4 2" xfId="55" xr:uid="{00000000-0005-0000-0000-000030000000}"/>
    <cellStyle name="Normal_KARSZJ3" xfId="44" xr:uid="{00000000-0005-0000-0000-000031000000}"/>
    <cellStyle name="Normál_Munka1" xfId="45" xr:uid="{00000000-0005-0000-0000-000032000000}"/>
    <cellStyle name="Normál_Zárszámadás 3.b., 3.c., melléklet" xfId="46" xr:uid="{00000000-0005-0000-0000-000033000000}"/>
    <cellStyle name="Normál_Zárszámadás 3.b., 3.c., melléklet 2" xfId="56" xr:uid="{00000000-0005-0000-0000-000034000000}"/>
    <cellStyle name="Összesen" xfId="47" builtinId="25" customBuiltin="1"/>
    <cellStyle name="Rossz" xfId="48" builtinId="27" customBuiltin="1"/>
    <cellStyle name="Semleges" xfId="49" builtinId="28" customBuiltin="1"/>
    <cellStyle name="Számítás" xfId="50" builtinId="22" customBuiltin="1"/>
  </cellStyles>
  <dxfs count="0"/>
  <tableStyles count="0" defaultTableStyle="TableStyleMedium9" defaultPivotStyle="PivotStyleLight16"/>
  <colors>
    <mruColors>
      <color rgb="FFCCFFFF"/>
      <color rgb="FFFFFF99"/>
      <color rgb="FFFF99CC"/>
      <color rgb="FF66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AA131"/>
  <sheetViews>
    <sheetView zoomScaleNormal="100" workbookViewId="0">
      <pane ySplit="1" topLeftCell="A98" activePane="bottomLeft" state="frozen"/>
      <selection pane="bottomLeft" activeCell="E104" sqref="E104"/>
    </sheetView>
  </sheetViews>
  <sheetFormatPr defaultRowHeight="12.75"/>
  <cols>
    <col min="1" max="1" width="7" customWidth="1"/>
    <col min="2" max="2" width="80.42578125" bestFit="1" customWidth="1"/>
    <col min="3" max="3" width="17.85546875" customWidth="1"/>
    <col min="4" max="4" width="18.42578125" customWidth="1"/>
    <col min="5" max="5" width="18.42578125" bestFit="1" customWidth="1"/>
    <col min="6" max="6" width="17.28515625" bestFit="1" customWidth="1"/>
    <col min="8" max="8" width="11.7109375" bestFit="1" customWidth="1"/>
    <col min="10" max="10" width="11.28515625" bestFit="1" customWidth="1"/>
  </cols>
  <sheetData>
    <row r="1" spans="1:27" ht="15" customHeight="1">
      <c r="A1" s="729" t="s">
        <v>1041</v>
      </c>
      <c r="B1" s="729"/>
      <c r="C1" s="729"/>
      <c r="D1" s="729"/>
      <c r="E1" s="729"/>
      <c r="F1" s="729"/>
    </row>
    <row r="2" spans="1:27" ht="15" customHeight="1">
      <c r="A2" s="729" t="s">
        <v>1111</v>
      </c>
      <c r="B2" s="729"/>
      <c r="C2" s="729"/>
      <c r="D2" s="729"/>
      <c r="E2" s="729"/>
      <c r="F2" s="729"/>
    </row>
    <row r="3" spans="1:27" s="46" customFormat="1" ht="6.75" customHeight="1">
      <c r="A3" s="111"/>
      <c r="B3" s="111"/>
      <c r="C3" s="111"/>
      <c r="D3" s="111"/>
      <c r="E3" s="111"/>
      <c r="F3" s="111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27" ht="13.5" customHeight="1">
      <c r="A4" s="730" t="s">
        <v>238</v>
      </c>
      <c r="B4" s="730"/>
      <c r="C4" s="730"/>
      <c r="D4" s="730"/>
      <c r="E4" s="730"/>
      <c r="F4" s="730"/>
    </row>
    <row r="5" spans="1:27" ht="13.5" customHeight="1">
      <c r="A5" s="731" t="s">
        <v>139</v>
      </c>
      <c r="B5" s="732" t="s">
        <v>134</v>
      </c>
      <c r="C5" s="633" t="s">
        <v>171</v>
      </c>
      <c r="D5" s="633" t="s">
        <v>135</v>
      </c>
      <c r="E5" s="732" t="s">
        <v>138</v>
      </c>
      <c r="F5" s="732"/>
    </row>
    <row r="6" spans="1:27" ht="45" customHeight="1">
      <c r="A6" s="731"/>
      <c r="B6" s="732"/>
      <c r="C6" s="732" t="s">
        <v>136</v>
      </c>
      <c r="D6" s="732"/>
      <c r="E6" s="633" t="s">
        <v>137</v>
      </c>
      <c r="F6" s="632" t="s">
        <v>170</v>
      </c>
    </row>
    <row r="7" spans="1:27">
      <c r="A7" s="735"/>
      <c r="B7" s="735"/>
      <c r="C7" s="735"/>
      <c r="D7" s="735"/>
      <c r="E7" s="735"/>
      <c r="F7" s="735"/>
    </row>
    <row r="8" spans="1:27" ht="15.75" customHeight="1">
      <c r="A8" s="736" t="s">
        <v>140</v>
      </c>
      <c r="B8" s="736"/>
      <c r="C8" s="736"/>
      <c r="D8" s="736"/>
      <c r="E8" s="736"/>
      <c r="F8" s="736"/>
    </row>
    <row r="9" spans="1:27" ht="28.5" customHeight="1">
      <c r="A9" s="121" t="s">
        <v>141</v>
      </c>
      <c r="B9" s="86" t="s">
        <v>185</v>
      </c>
      <c r="C9" s="276">
        <f>SUM(C10)</f>
        <v>33374724</v>
      </c>
      <c r="D9" s="276">
        <f>SUM(D10)</f>
        <v>34546345</v>
      </c>
      <c r="E9" s="276">
        <f>SUM(E10)</f>
        <v>34546345</v>
      </c>
      <c r="F9" s="118">
        <f>E9/D9*100</f>
        <v>100</v>
      </c>
    </row>
    <row r="10" spans="1:27" ht="14.45" customHeight="1">
      <c r="A10" s="113" t="s">
        <v>158</v>
      </c>
      <c r="B10" s="636" t="s">
        <v>495</v>
      </c>
      <c r="C10" s="315">
        <v>33374724</v>
      </c>
      <c r="D10" s="315">
        <v>34546345</v>
      </c>
      <c r="E10" s="315">
        <v>34546345</v>
      </c>
      <c r="F10" s="316">
        <f>E10/D10*100</f>
        <v>100</v>
      </c>
    </row>
    <row r="11" spans="1:27" ht="28.5" customHeight="1">
      <c r="A11" s="121" t="s">
        <v>142</v>
      </c>
      <c r="B11" s="86" t="s">
        <v>866</v>
      </c>
      <c r="C11" s="276">
        <f>SUM(C12+C18+C19)</f>
        <v>935506437</v>
      </c>
      <c r="D11" s="276">
        <f>SUM(D12+D18+D19)</f>
        <v>982920514</v>
      </c>
      <c r="E11" s="276">
        <f>SUM(E12+E18+E19)</f>
        <v>982920514</v>
      </c>
      <c r="F11" s="118">
        <f t="shared" ref="F11:F61" si="0">E11/D11*100</f>
        <v>100</v>
      </c>
    </row>
    <row r="12" spans="1:27" s="20" customFormat="1" ht="20.100000000000001" customHeight="1">
      <c r="A12" s="121" t="s">
        <v>163</v>
      </c>
      <c r="B12" s="458" t="s">
        <v>195</v>
      </c>
      <c r="C12" s="276">
        <f>SUM(C13:C17)</f>
        <v>368611389</v>
      </c>
      <c r="D12" s="276">
        <f>SUM(D13:D17)</f>
        <v>387608722</v>
      </c>
      <c r="E12" s="276">
        <f>SUM(E13:E17)</f>
        <v>387608722</v>
      </c>
      <c r="F12" s="118">
        <f t="shared" si="0"/>
        <v>100</v>
      </c>
    </row>
    <row r="13" spans="1:27" ht="14.45" customHeight="1">
      <c r="A13" s="113" t="s">
        <v>491</v>
      </c>
      <c r="B13" s="636" t="s">
        <v>490</v>
      </c>
      <c r="C13" s="315">
        <v>300294416</v>
      </c>
      <c r="D13" s="315">
        <v>301547642</v>
      </c>
      <c r="E13" s="315">
        <v>301547642</v>
      </c>
      <c r="F13" s="316">
        <f t="shared" si="0"/>
        <v>100</v>
      </c>
    </row>
    <row r="14" spans="1:27" ht="14.45" customHeight="1">
      <c r="A14" s="113" t="s">
        <v>851</v>
      </c>
      <c r="B14" s="636" t="s">
        <v>1112</v>
      </c>
      <c r="C14" s="315">
        <v>0</v>
      </c>
      <c r="D14" s="315">
        <v>9069885</v>
      </c>
      <c r="E14" s="315">
        <v>9069885</v>
      </c>
      <c r="F14" s="316">
        <f t="shared" si="0"/>
        <v>100</v>
      </c>
    </row>
    <row r="15" spans="1:27" ht="14.45" customHeight="1">
      <c r="A15" s="113" t="s">
        <v>852</v>
      </c>
      <c r="B15" s="636" t="s">
        <v>450</v>
      </c>
      <c r="C15" s="315">
        <v>65848973</v>
      </c>
      <c r="D15" s="315">
        <v>60921731</v>
      </c>
      <c r="E15" s="315">
        <v>60921731</v>
      </c>
      <c r="F15" s="316">
        <f t="shared" si="0"/>
        <v>100</v>
      </c>
      <c r="H15" s="645"/>
      <c r="J15" s="645"/>
    </row>
    <row r="16" spans="1:27" ht="14.45" customHeight="1">
      <c r="A16" s="113" t="s">
        <v>903</v>
      </c>
      <c r="B16" s="636" t="s">
        <v>912</v>
      </c>
      <c r="C16" s="315">
        <v>2468000</v>
      </c>
      <c r="D16" s="315">
        <v>2468000</v>
      </c>
      <c r="E16" s="315">
        <v>2468000</v>
      </c>
      <c r="F16" s="316">
        <f t="shared" si="0"/>
        <v>100</v>
      </c>
      <c r="H16" s="645"/>
    </row>
    <row r="17" spans="1:10" ht="14.45" customHeight="1">
      <c r="A17" s="113" t="s">
        <v>853</v>
      </c>
      <c r="B17" s="636" t="s">
        <v>1113</v>
      </c>
      <c r="C17" s="315">
        <v>0</v>
      </c>
      <c r="D17" s="315">
        <v>13601464</v>
      </c>
      <c r="E17" s="315">
        <v>13601464</v>
      </c>
      <c r="F17" s="316">
        <f t="shared" si="0"/>
        <v>100</v>
      </c>
      <c r="H17" s="645"/>
    </row>
    <row r="18" spans="1:10" s="20" customFormat="1" ht="16.5" customHeight="1">
      <c r="A18" s="121" t="s">
        <v>165</v>
      </c>
      <c r="B18" s="458" t="s">
        <v>878</v>
      </c>
      <c r="C18" s="276">
        <v>368611389</v>
      </c>
      <c r="D18" s="276">
        <v>388199158</v>
      </c>
      <c r="E18" s="276">
        <v>388199158</v>
      </c>
      <c r="F18" s="118">
        <f t="shared" si="0"/>
        <v>100</v>
      </c>
      <c r="H18" s="362"/>
      <c r="J18" s="362"/>
    </row>
    <row r="19" spans="1:10" s="20" customFormat="1" ht="18.75" customHeight="1">
      <c r="A19" s="121" t="s">
        <v>167</v>
      </c>
      <c r="B19" s="458" t="s">
        <v>486</v>
      </c>
      <c r="C19" s="276">
        <f>SUM(C20,C21,C24,C33,C34,C35)</f>
        <v>198283659</v>
      </c>
      <c r="D19" s="276">
        <f>SUM(D20,D21,D24,D33,D34,D35)</f>
        <v>207112634</v>
      </c>
      <c r="E19" s="276">
        <f>SUM(E20,E21,E24,E33,E34,E35)</f>
        <v>207112634</v>
      </c>
      <c r="F19" s="118">
        <f t="shared" si="0"/>
        <v>100</v>
      </c>
      <c r="H19" s="362"/>
      <c r="J19" s="362"/>
    </row>
    <row r="20" spans="1:10" s="20" customFormat="1" ht="14.45" customHeight="1">
      <c r="A20" s="121" t="s">
        <v>487</v>
      </c>
      <c r="B20" s="458" t="s">
        <v>971</v>
      </c>
      <c r="C20" s="276">
        <v>8433464</v>
      </c>
      <c r="D20" s="276">
        <v>8434180</v>
      </c>
      <c r="E20" s="276">
        <v>8434180</v>
      </c>
      <c r="F20" s="118">
        <f t="shared" si="0"/>
        <v>100</v>
      </c>
      <c r="H20" s="414"/>
    </row>
    <row r="21" spans="1:10" s="20" customFormat="1" ht="14.45" customHeight="1">
      <c r="A21" s="121" t="s">
        <v>488</v>
      </c>
      <c r="B21" s="458" t="s">
        <v>451</v>
      </c>
      <c r="C21" s="276">
        <f>SUM(C22:C23)</f>
        <v>12634156</v>
      </c>
      <c r="D21" s="276">
        <f>SUM(D22:D23)</f>
        <v>15708484</v>
      </c>
      <c r="E21" s="276">
        <f>SUM(E22:E23)</f>
        <v>15708484</v>
      </c>
      <c r="F21" s="118">
        <f t="shared" si="0"/>
        <v>100</v>
      </c>
      <c r="H21" s="414"/>
    </row>
    <row r="22" spans="1:10" s="20" customFormat="1" ht="14.45" customHeight="1">
      <c r="A22" s="113" t="s">
        <v>972</v>
      </c>
      <c r="B22" s="314" t="s">
        <v>1179</v>
      </c>
      <c r="C22" s="315">
        <v>12066545</v>
      </c>
      <c r="D22" s="315">
        <v>12066545</v>
      </c>
      <c r="E22" s="315">
        <v>12066545</v>
      </c>
      <c r="F22" s="316">
        <v>0</v>
      </c>
      <c r="H22" s="414"/>
    </row>
    <row r="23" spans="1:10" s="20" customFormat="1" ht="32.450000000000003" customHeight="1">
      <c r="A23" s="113" t="s">
        <v>973</v>
      </c>
      <c r="B23" s="314" t="s">
        <v>1180</v>
      </c>
      <c r="C23" s="315">
        <v>567611</v>
      </c>
      <c r="D23" s="315">
        <v>3641939</v>
      </c>
      <c r="E23" s="315">
        <v>3641939</v>
      </c>
      <c r="F23" s="316">
        <f t="shared" si="0"/>
        <v>100</v>
      </c>
      <c r="H23" s="414"/>
    </row>
    <row r="24" spans="1:10" s="20" customFormat="1" ht="14.45" customHeight="1">
      <c r="A24" s="121" t="s">
        <v>489</v>
      </c>
      <c r="B24" s="458" t="s">
        <v>974</v>
      </c>
      <c r="C24" s="276">
        <f>SUM(C25:C32)</f>
        <v>175691234</v>
      </c>
      <c r="D24" s="276">
        <f>SUM(D25:D32)</f>
        <v>173612552</v>
      </c>
      <c r="E24" s="276">
        <f>SUM(E25:E32)</f>
        <v>173612552</v>
      </c>
      <c r="F24" s="118">
        <f t="shared" si="0"/>
        <v>100</v>
      </c>
      <c r="H24" s="362"/>
    </row>
    <row r="25" spans="1:10" ht="14.45" customHeight="1">
      <c r="A25" s="113" t="s">
        <v>863</v>
      </c>
      <c r="B25" s="314" t="s">
        <v>920</v>
      </c>
      <c r="C25" s="315">
        <v>20239937</v>
      </c>
      <c r="D25" s="315">
        <v>20239937</v>
      </c>
      <c r="E25" s="315">
        <v>20239937</v>
      </c>
      <c r="F25" s="316">
        <f t="shared" si="0"/>
        <v>100</v>
      </c>
      <c r="H25" s="352"/>
    </row>
    <row r="26" spans="1:10" ht="14.45" customHeight="1">
      <c r="A26" s="113" t="s">
        <v>864</v>
      </c>
      <c r="B26" s="314" t="s">
        <v>926</v>
      </c>
      <c r="C26" s="315">
        <v>0</v>
      </c>
      <c r="D26" s="315">
        <v>2346000</v>
      </c>
      <c r="E26" s="315">
        <v>2346000</v>
      </c>
      <c r="F26" s="316">
        <f t="shared" si="0"/>
        <v>100</v>
      </c>
      <c r="H26" s="352"/>
    </row>
    <row r="27" spans="1:10" ht="14.45" customHeight="1">
      <c r="A27" s="113" t="s">
        <v>865</v>
      </c>
      <c r="B27" s="314" t="s">
        <v>858</v>
      </c>
      <c r="C27" s="315">
        <v>6740507</v>
      </c>
      <c r="D27" s="315">
        <v>6740507</v>
      </c>
      <c r="E27" s="315">
        <v>6740507</v>
      </c>
      <c r="F27" s="316">
        <f t="shared" si="0"/>
        <v>100</v>
      </c>
      <c r="H27" s="352"/>
    </row>
    <row r="28" spans="1:10" ht="14.45" customHeight="1">
      <c r="A28" s="113" t="s">
        <v>975</v>
      </c>
      <c r="B28" s="314" t="s">
        <v>859</v>
      </c>
      <c r="C28" s="315">
        <v>34562543</v>
      </c>
      <c r="D28" s="315">
        <v>34562543</v>
      </c>
      <c r="E28" s="315">
        <v>34562543</v>
      </c>
      <c r="F28" s="316">
        <f t="shared" si="0"/>
        <v>100</v>
      </c>
      <c r="H28" s="352"/>
    </row>
    <row r="29" spans="1:10" ht="14.45" customHeight="1">
      <c r="A29" s="113" t="s">
        <v>976</v>
      </c>
      <c r="B29" s="314" t="s">
        <v>860</v>
      </c>
      <c r="C29" s="315">
        <v>35870019</v>
      </c>
      <c r="D29" s="315">
        <v>33095471</v>
      </c>
      <c r="E29" s="315">
        <v>33095471</v>
      </c>
      <c r="F29" s="316">
        <f t="shared" si="0"/>
        <v>100</v>
      </c>
      <c r="H29" s="352"/>
    </row>
    <row r="30" spans="1:10" ht="14.45" customHeight="1">
      <c r="A30" s="113" t="s">
        <v>977</v>
      </c>
      <c r="B30" s="314" t="s">
        <v>978</v>
      </c>
      <c r="C30" s="315">
        <v>64627335</v>
      </c>
      <c r="D30" s="315">
        <v>63009091</v>
      </c>
      <c r="E30" s="315">
        <v>63009091</v>
      </c>
      <c r="F30" s="316">
        <f t="shared" si="0"/>
        <v>100</v>
      </c>
      <c r="H30" s="352"/>
    </row>
    <row r="31" spans="1:10" ht="25.5">
      <c r="A31" s="113" t="s">
        <v>1114</v>
      </c>
      <c r="B31" s="314" t="s">
        <v>1180</v>
      </c>
      <c r="C31" s="315">
        <v>0</v>
      </c>
      <c r="D31" s="315">
        <v>64929</v>
      </c>
      <c r="E31" s="315">
        <v>64929</v>
      </c>
      <c r="F31" s="316">
        <f t="shared" si="0"/>
        <v>100</v>
      </c>
      <c r="H31" s="352"/>
    </row>
    <row r="32" spans="1:10" ht="14.45" customHeight="1">
      <c r="A32" s="113" t="s">
        <v>1115</v>
      </c>
      <c r="B32" s="314" t="s">
        <v>980</v>
      </c>
      <c r="C32" s="315">
        <v>13650893</v>
      </c>
      <c r="D32" s="315">
        <v>13554074</v>
      </c>
      <c r="E32" s="315">
        <v>13554074</v>
      </c>
      <c r="F32" s="316">
        <f t="shared" si="0"/>
        <v>100</v>
      </c>
      <c r="H32" s="352"/>
    </row>
    <row r="33" spans="1:10" s="20" customFormat="1" ht="14.45" customHeight="1">
      <c r="A33" s="121" t="s">
        <v>981</v>
      </c>
      <c r="B33" s="458" t="s">
        <v>449</v>
      </c>
      <c r="C33" s="276">
        <v>1180872</v>
      </c>
      <c r="D33" s="276">
        <v>590436</v>
      </c>
      <c r="E33" s="276">
        <v>590436</v>
      </c>
      <c r="F33" s="316">
        <f t="shared" si="0"/>
        <v>100</v>
      </c>
    </row>
    <row r="34" spans="1:10" ht="20.100000000000001" customHeight="1">
      <c r="A34" s="121" t="s">
        <v>1116</v>
      </c>
      <c r="B34" s="458" t="s">
        <v>1117</v>
      </c>
      <c r="C34" s="276">
        <v>343933</v>
      </c>
      <c r="D34" s="276">
        <v>343933</v>
      </c>
      <c r="E34" s="276">
        <v>343933</v>
      </c>
      <c r="F34" s="316">
        <f t="shared" si="0"/>
        <v>100</v>
      </c>
      <c r="H34" s="645"/>
      <c r="J34" s="352"/>
    </row>
    <row r="35" spans="1:10" ht="20.100000000000001" customHeight="1">
      <c r="A35" s="121" t="s">
        <v>1118</v>
      </c>
      <c r="B35" s="121" t="s">
        <v>1119</v>
      </c>
      <c r="C35" s="276">
        <v>0</v>
      </c>
      <c r="D35" s="276">
        <v>8423049</v>
      </c>
      <c r="E35" s="276">
        <v>8423049</v>
      </c>
      <c r="F35" s="316">
        <f t="shared" si="0"/>
        <v>100</v>
      </c>
      <c r="J35" s="352"/>
    </row>
    <row r="36" spans="1:10" ht="15" customHeight="1">
      <c r="A36" s="121" t="s">
        <v>143</v>
      </c>
      <c r="B36" s="86" t="s">
        <v>496</v>
      </c>
      <c r="C36" s="276">
        <f>SUM(C37,C42,C44)</f>
        <v>892917</v>
      </c>
      <c r="D36" s="276">
        <f t="shared" ref="D36:E36" si="1">SUM(D37,D42,D44)</f>
        <v>1377137</v>
      </c>
      <c r="E36" s="276">
        <f t="shared" si="1"/>
        <v>1377137</v>
      </c>
      <c r="F36" s="118">
        <f t="shared" si="0"/>
        <v>100</v>
      </c>
    </row>
    <row r="37" spans="1:10" s="20" customFormat="1" ht="15" customHeight="1">
      <c r="A37" s="121" t="s">
        <v>145</v>
      </c>
      <c r="B37" s="458" t="s">
        <v>974</v>
      </c>
      <c r="C37" s="276">
        <f>SUM(C38:C41)</f>
        <v>892917</v>
      </c>
      <c r="D37" s="276">
        <f>SUM(D38:D41)</f>
        <v>892917</v>
      </c>
      <c r="E37" s="276">
        <f>SUM(E38:E41)</f>
        <v>892917</v>
      </c>
      <c r="F37" s="118">
        <f t="shared" si="0"/>
        <v>100</v>
      </c>
    </row>
    <row r="38" spans="1:10" ht="15" customHeight="1">
      <c r="A38" s="113" t="s">
        <v>982</v>
      </c>
      <c r="B38" s="314" t="s">
        <v>984</v>
      </c>
      <c r="C38" s="315">
        <v>92917</v>
      </c>
      <c r="D38" s="315">
        <v>92917</v>
      </c>
      <c r="E38" s="315">
        <v>92917</v>
      </c>
      <c r="F38" s="316">
        <f t="shared" si="0"/>
        <v>100</v>
      </c>
    </row>
    <row r="39" spans="1:10" ht="15" customHeight="1">
      <c r="A39" s="113" t="s">
        <v>991</v>
      </c>
      <c r="B39" s="314" t="s">
        <v>985</v>
      </c>
      <c r="C39" s="315">
        <v>450000</v>
      </c>
      <c r="D39" s="315">
        <v>450000</v>
      </c>
      <c r="E39" s="315">
        <v>450000</v>
      </c>
      <c r="F39" s="316">
        <f t="shared" si="0"/>
        <v>100</v>
      </c>
    </row>
    <row r="40" spans="1:10" ht="15" customHeight="1">
      <c r="A40" s="113" t="s">
        <v>1170</v>
      </c>
      <c r="B40" s="314" t="s">
        <v>986</v>
      </c>
      <c r="C40" s="315">
        <v>250000</v>
      </c>
      <c r="D40" s="315">
        <v>250000</v>
      </c>
      <c r="E40" s="315">
        <v>250000</v>
      </c>
      <c r="F40" s="316">
        <f t="shared" si="0"/>
        <v>100</v>
      </c>
    </row>
    <row r="41" spans="1:10" ht="15" customHeight="1">
      <c r="A41" s="113" t="s">
        <v>992</v>
      </c>
      <c r="B41" s="314" t="s">
        <v>987</v>
      </c>
      <c r="C41" s="315">
        <v>100000</v>
      </c>
      <c r="D41" s="315">
        <v>100000</v>
      </c>
      <c r="E41" s="315">
        <v>100000</v>
      </c>
      <c r="F41" s="316">
        <f t="shared" si="0"/>
        <v>100</v>
      </c>
    </row>
    <row r="42" spans="1:10" ht="15" customHeight="1">
      <c r="A42" s="121" t="s">
        <v>146</v>
      </c>
      <c r="B42" s="458" t="s">
        <v>1122</v>
      </c>
      <c r="C42" s="276">
        <f>SUM(C43:C43)</f>
        <v>0</v>
      </c>
      <c r="D42" s="276">
        <f>SUM(D43:D43)</f>
        <v>242110</v>
      </c>
      <c r="E42" s="276">
        <f>SUM(E43:E43)</f>
        <v>242110</v>
      </c>
      <c r="F42" s="316">
        <f t="shared" si="0"/>
        <v>100</v>
      </c>
    </row>
    <row r="43" spans="1:10" s="20" customFormat="1" ht="20.100000000000001" customHeight="1">
      <c r="A43" s="113" t="s">
        <v>1160</v>
      </c>
      <c r="B43" s="314" t="s">
        <v>1124</v>
      </c>
      <c r="C43" s="276">
        <v>0</v>
      </c>
      <c r="D43" s="315">
        <v>242110</v>
      </c>
      <c r="E43" s="315">
        <v>242110</v>
      </c>
      <c r="F43" s="316">
        <f t="shared" si="0"/>
        <v>100</v>
      </c>
    </row>
    <row r="44" spans="1:10" s="20" customFormat="1" ht="15" customHeight="1">
      <c r="A44" s="121" t="s">
        <v>1017</v>
      </c>
      <c r="B44" s="458" t="s">
        <v>1013</v>
      </c>
      <c r="C44" s="276">
        <v>0</v>
      </c>
      <c r="D44" s="276">
        <v>242110</v>
      </c>
      <c r="E44" s="276">
        <v>242110</v>
      </c>
      <c r="F44" s="118">
        <f t="shared" si="0"/>
        <v>100</v>
      </c>
    </row>
    <row r="45" spans="1:10" ht="27.75" customHeight="1">
      <c r="A45" s="121" t="s">
        <v>1018</v>
      </c>
      <c r="B45" s="86" t="s">
        <v>911</v>
      </c>
      <c r="C45" s="276">
        <f>SUM(C46,C56,C61)</f>
        <v>88915099</v>
      </c>
      <c r="D45" s="276">
        <f>SUM(D46,D56)</f>
        <v>88915099</v>
      </c>
      <c r="E45" s="276">
        <f>SUM(E46,E56)</f>
        <v>88915099</v>
      </c>
      <c r="F45" s="118">
        <f t="shared" si="0"/>
        <v>100</v>
      </c>
    </row>
    <row r="46" spans="1:10" s="20" customFormat="1" ht="15" customHeight="1">
      <c r="A46" s="121" t="s">
        <v>184</v>
      </c>
      <c r="B46" s="86" t="s">
        <v>497</v>
      </c>
      <c r="C46" s="276">
        <f>SUM(C47,C51,C53,C54,C55)</f>
        <v>86041253</v>
      </c>
      <c r="D46" s="276">
        <f>SUM(D47,D51,D53,D54,D55)</f>
        <v>86042662</v>
      </c>
      <c r="E46" s="276">
        <f t="shared" ref="E46" si="2">SUM(E47,E51,E53,E54,E55)</f>
        <v>86042662</v>
      </c>
      <c r="F46" s="118">
        <f t="shared" si="0"/>
        <v>100</v>
      </c>
    </row>
    <row r="47" spans="1:10" ht="15" customHeight="1">
      <c r="A47" s="113" t="s">
        <v>1019</v>
      </c>
      <c r="B47" s="636" t="s">
        <v>988</v>
      </c>
      <c r="C47" s="315">
        <v>26897792</v>
      </c>
      <c r="D47" s="315">
        <v>26897792</v>
      </c>
      <c r="E47" s="315">
        <v>26897792</v>
      </c>
      <c r="F47" s="316">
        <f t="shared" si="0"/>
        <v>100</v>
      </c>
    </row>
    <row r="48" spans="1:10" s="492" customFormat="1" ht="15" customHeight="1">
      <c r="A48" s="114"/>
      <c r="B48" s="406" t="s">
        <v>1181</v>
      </c>
      <c r="C48" s="105">
        <v>15754704</v>
      </c>
      <c r="D48" s="105">
        <v>15754704</v>
      </c>
      <c r="E48" s="105">
        <v>15754704</v>
      </c>
      <c r="F48" s="106">
        <f t="shared" si="0"/>
        <v>100</v>
      </c>
    </row>
    <row r="49" spans="1:6" s="492" customFormat="1" ht="27" customHeight="1">
      <c r="A49" s="114"/>
      <c r="B49" s="406" t="s">
        <v>1011</v>
      </c>
      <c r="C49" s="105">
        <v>405251</v>
      </c>
      <c r="D49" s="105">
        <v>405251</v>
      </c>
      <c r="E49" s="105">
        <v>405251</v>
      </c>
      <c r="F49" s="106">
        <f t="shared" si="0"/>
        <v>100</v>
      </c>
    </row>
    <row r="50" spans="1:6" s="492" customFormat="1" ht="15" customHeight="1">
      <c r="A50" s="114"/>
      <c r="B50" s="406" t="s">
        <v>989</v>
      </c>
      <c r="C50" s="105">
        <v>93998</v>
      </c>
      <c r="D50" s="105">
        <v>93998</v>
      </c>
      <c r="E50" s="105">
        <v>93998</v>
      </c>
      <c r="F50" s="106">
        <f t="shared" si="0"/>
        <v>100</v>
      </c>
    </row>
    <row r="51" spans="1:6" ht="15" customHeight="1">
      <c r="A51" s="113" t="s">
        <v>1020</v>
      </c>
      <c r="B51" s="314" t="s">
        <v>955</v>
      </c>
      <c r="C51" s="315">
        <v>22889754</v>
      </c>
      <c r="D51" s="315">
        <v>22889754</v>
      </c>
      <c r="E51" s="315">
        <v>22889754</v>
      </c>
      <c r="F51" s="316">
        <f t="shared" si="0"/>
        <v>100</v>
      </c>
    </row>
    <row r="52" spans="1:6" s="492" customFormat="1" ht="15" customHeight="1">
      <c r="A52" s="114"/>
      <c r="B52" s="475" t="s">
        <v>1181</v>
      </c>
      <c r="C52" s="105">
        <v>1467293</v>
      </c>
      <c r="D52" s="105">
        <v>1468702</v>
      </c>
      <c r="E52" s="105">
        <v>1468702</v>
      </c>
      <c r="F52" s="106">
        <f t="shared" si="0"/>
        <v>100</v>
      </c>
    </row>
    <row r="53" spans="1:6" ht="15" customHeight="1">
      <c r="A53" s="113" t="s">
        <v>1021</v>
      </c>
      <c r="B53" s="314" t="s">
        <v>990</v>
      </c>
      <c r="C53" s="315">
        <v>28978829</v>
      </c>
      <c r="D53" s="315">
        <v>28978829</v>
      </c>
      <c r="E53" s="315">
        <v>28978829</v>
      </c>
      <c r="F53" s="316">
        <f t="shared" si="0"/>
        <v>100</v>
      </c>
    </row>
    <row r="54" spans="1:6" ht="15" customHeight="1">
      <c r="A54" s="113" t="s">
        <v>1022</v>
      </c>
      <c r="B54" s="314" t="s">
        <v>901</v>
      </c>
      <c r="C54" s="315">
        <v>7274878</v>
      </c>
      <c r="D54" s="315">
        <v>7274878</v>
      </c>
      <c r="E54" s="315">
        <v>7274878</v>
      </c>
      <c r="F54" s="316">
        <f t="shared" si="0"/>
        <v>100</v>
      </c>
    </row>
    <row r="55" spans="1:6" ht="28.5" customHeight="1">
      <c r="A55" s="121" t="s">
        <v>1125</v>
      </c>
      <c r="B55" s="458" t="s">
        <v>1126</v>
      </c>
      <c r="C55" s="315">
        <v>0</v>
      </c>
      <c r="D55" s="315">
        <v>1409</v>
      </c>
      <c r="E55" s="315">
        <v>1409</v>
      </c>
      <c r="F55" s="316">
        <f t="shared" si="0"/>
        <v>100</v>
      </c>
    </row>
    <row r="56" spans="1:6" s="20" customFormat="1" ht="15" customHeight="1">
      <c r="A56" s="121" t="s">
        <v>1010</v>
      </c>
      <c r="B56" s="86" t="s">
        <v>910</v>
      </c>
      <c r="C56" s="276">
        <f>SUM(C57:C61)</f>
        <v>2873846</v>
      </c>
      <c r="D56" s="276">
        <f>SUM(D57:D61)</f>
        <v>2872437</v>
      </c>
      <c r="E56" s="276">
        <f>SUM(E57:E61)</f>
        <v>2872437</v>
      </c>
      <c r="F56" s="118">
        <f t="shared" si="0"/>
        <v>100</v>
      </c>
    </row>
    <row r="57" spans="1:6" ht="15" customHeight="1">
      <c r="A57" s="113" t="s">
        <v>1023</v>
      </c>
      <c r="B57" s="314" t="s">
        <v>1182</v>
      </c>
      <c r="C57" s="315">
        <v>2051767</v>
      </c>
      <c r="D57" s="315">
        <v>2051767</v>
      </c>
      <c r="E57" s="315">
        <v>2051767</v>
      </c>
      <c r="F57" s="316">
        <f t="shared" si="0"/>
        <v>100</v>
      </c>
    </row>
    <row r="58" spans="1:6" ht="15" customHeight="1">
      <c r="A58" s="113" t="s">
        <v>1024</v>
      </c>
      <c r="B58" s="636" t="s">
        <v>988</v>
      </c>
      <c r="C58" s="315">
        <v>807083</v>
      </c>
      <c r="D58" s="315">
        <v>807083</v>
      </c>
      <c r="E58" s="315">
        <v>807083</v>
      </c>
      <c r="F58" s="316">
        <f t="shared" si="0"/>
        <v>100</v>
      </c>
    </row>
    <row r="59" spans="1:6" ht="15" customHeight="1">
      <c r="A59" s="113" t="s">
        <v>1025</v>
      </c>
      <c r="B59" s="314" t="s">
        <v>901</v>
      </c>
      <c r="C59" s="315">
        <v>10246</v>
      </c>
      <c r="D59" s="315">
        <v>10246</v>
      </c>
      <c r="E59" s="315">
        <v>10246</v>
      </c>
      <c r="F59" s="316">
        <f t="shared" si="0"/>
        <v>100</v>
      </c>
    </row>
    <row r="60" spans="1:6" ht="30" customHeight="1">
      <c r="A60" s="113" t="s">
        <v>1026</v>
      </c>
      <c r="B60" s="314" t="s">
        <v>1180</v>
      </c>
      <c r="C60" s="315">
        <v>4750</v>
      </c>
      <c r="D60" s="315">
        <v>4750</v>
      </c>
      <c r="E60" s="315">
        <v>4750</v>
      </c>
      <c r="F60" s="316">
        <f t="shared" si="0"/>
        <v>100</v>
      </c>
    </row>
    <row r="61" spans="1:6" ht="30" customHeight="1">
      <c r="A61" s="113" t="s">
        <v>1144</v>
      </c>
      <c r="B61" s="458" t="s">
        <v>1126</v>
      </c>
      <c r="C61" s="315">
        <v>0</v>
      </c>
      <c r="D61" s="315">
        <v>-1409</v>
      </c>
      <c r="E61" s="315">
        <v>-1409</v>
      </c>
      <c r="F61" s="316">
        <f t="shared" si="0"/>
        <v>100</v>
      </c>
    </row>
    <row r="62" spans="1:6" s="158" customFormat="1" ht="15.75" customHeight="1">
      <c r="A62" s="737" t="s">
        <v>183</v>
      </c>
      <c r="B62" s="737"/>
      <c r="C62" s="183">
        <f>SUM(C9+C11+C36+C45)</f>
        <v>1058689177</v>
      </c>
      <c r="D62" s="183">
        <f>SUM(D9+D11+D36+D45)</f>
        <v>1107759095</v>
      </c>
      <c r="E62" s="183">
        <f>SUM(E9+E11+E36+E45)</f>
        <v>1107759095</v>
      </c>
      <c r="F62" s="184">
        <f>E62/D62*100</f>
        <v>100</v>
      </c>
    </row>
    <row r="63" spans="1:6" s="158" customFormat="1" ht="20.100000000000001" customHeight="1">
      <c r="A63" s="121" t="s">
        <v>148</v>
      </c>
      <c r="B63" s="86" t="s">
        <v>119</v>
      </c>
      <c r="C63" s="70"/>
      <c r="D63" s="70"/>
      <c r="E63" s="70">
        <v>373557</v>
      </c>
      <c r="F63" s="724">
        <v>0</v>
      </c>
    </row>
    <row r="64" spans="1:6" s="158" customFormat="1" ht="15.75" customHeight="1">
      <c r="A64" s="737" t="s">
        <v>74</v>
      </c>
      <c r="B64" s="737"/>
      <c r="C64" s="183">
        <f>SUM(C62:C63)</f>
        <v>1058689177</v>
      </c>
      <c r="D64" s="183">
        <f>SUM(D62:D63)</f>
        <v>1107759095</v>
      </c>
      <c r="E64" s="183">
        <f>SUM(E62:E63)</f>
        <v>1108132652</v>
      </c>
      <c r="F64" s="184">
        <f t="shared" ref="F64" si="3">E64/D64*100</f>
        <v>100.03372186260407</v>
      </c>
    </row>
    <row r="65" spans="1:6" s="2" customFormat="1">
      <c r="A65" s="738"/>
      <c r="B65" s="738"/>
      <c r="C65" s="738"/>
      <c r="D65" s="738"/>
      <c r="E65" s="738"/>
      <c r="F65" s="738"/>
    </row>
    <row r="66" spans="1:6" ht="15.75" customHeight="1">
      <c r="A66" s="739" t="s">
        <v>153</v>
      </c>
      <c r="B66" s="739"/>
      <c r="C66" s="739"/>
      <c r="D66" s="739"/>
      <c r="E66" s="739"/>
      <c r="F66" s="739"/>
    </row>
    <row r="67" spans="1:6" s="20" customFormat="1" ht="28.5" customHeight="1">
      <c r="A67" s="121" t="s">
        <v>141</v>
      </c>
      <c r="B67" s="86" t="s">
        <v>154</v>
      </c>
      <c r="C67" s="70">
        <f>C68+C69+C70+C71+C84</f>
        <v>1054922414</v>
      </c>
      <c r="D67" s="70">
        <f t="shared" ref="D67:E67" si="4">D68+D69+D70+D71+D84</f>
        <v>1103509521</v>
      </c>
      <c r="E67" s="70">
        <f t="shared" si="4"/>
        <v>1029966685</v>
      </c>
      <c r="F67" s="317">
        <f t="shared" ref="F67:F83" si="5">ROUND(E67/D67*100,1)</f>
        <v>93.3</v>
      </c>
    </row>
    <row r="68" spans="1:6" ht="20.100000000000001" customHeight="1">
      <c r="A68" s="113" t="s">
        <v>158</v>
      </c>
      <c r="B68" s="636" t="s">
        <v>155</v>
      </c>
      <c r="C68" s="18">
        <v>434264539</v>
      </c>
      <c r="D68" s="18">
        <v>424897218</v>
      </c>
      <c r="E68" s="18">
        <v>403210160</v>
      </c>
      <c r="F68" s="310">
        <f t="shared" si="5"/>
        <v>94.9</v>
      </c>
    </row>
    <row r="69" spans="1:6" ht="20.100000000000001" customHeight="1">
      <c r="A69" s="113" t="s">
        <v>159</v>
      </c>
      <c r="B69" s="636" t="s">
        <v>156</v>
      </c>
      <c r="C69" s="18">
        <v>67154725</v>
      </c>
      <c r="D69" s="18">
        <v>69832348</v>
      </c>
      <c r="E69" s="18">
        <v>66490109</v>
      </c>
      <c r="F69" s="310">
        <f t="shared" si="5"/>
        <v>95.2</v>
      </c>
    </row>
    <row r="70" spans="1:6" ht="20.100000000000001" customHeight="1">
      <c r="A70" s="113" t="s">
        <v>160</v>
      </c>
      <c r="B70" s="636" t="s">
        <v>157</v>
      </c>
      <c r="C70" s="18">
        <v>131636196</v>
      </c>
      <c r="D70" s="18">
        <v>153116865</v>
      </c>
      <c r="E70" s="18">
        <v>104603326</v>
      </c>
      <c r="F70" s="310">
        <f t="shared" si="5"/>
        <v>68.3</v>
      </c>
    </row>
    <row r="71" spans="1:6" ht="20.100000000000001" customHeight="1">
      <c r="A71" s="121" t="s">
        <v>161</v>
      </c>
      <c r="B71" s="86" t="s">
        <v>436</v>
      </c>
      <c r="C71" s="70">
        <f>SUM(C72:C83)</f>
        <v>421866954</v>
      </c>
      <c r="D71" s="70">
        <f t="shared" ref="D71" si="6">SUM(D72:D83)</f>
        <v>454613090</v>
      </c>
      <c r="E71" s="70">
        <f>SUM(E72:E83)</f>
        <v>454613090</v>
      </c>
      <c r="F71" s="317">
        <f t="shared" si="5"/>
        <v>100</v>
      </c>
    </row>
    <row r="72" spans="1:6" ht="14.25" customHeight="1">
      <c r="A72" s="176" t="s">
        <v>498</v>
      </c>
      <c r="B72" s="176" t="s">
        <v>856</v>
      </c>
      <c r="C72" s="18">
        <v>3810000</v>
      </c>
      <c r="D72" s="18">
        <v>3810000</v>
      </c>
      <c r="E72" s="18">
        <v>3810000</v>
      </c>
      <c r="F72" s="310">
        <f t="shared" si="5"/>
        <v>100</v>
      </c>
    </row>
    <row r="73" spans="1:6" ht="14.25" customHeight="1">
      <c r="A73" s="176" t="s">
        <v>499</v>
      </c>
      <c r="B73" s="176" t="s">
        <v>845</v>
      </c>
      <c r="C73" s="333">
        <v>8269000</v>
      </c>
      <c r="D73" s="333">
        <v>8269000</v>
      </c>
      <c r="E73" s="333">
        <v>8269000</v>
      </c>
      <c r="F73" s="310">
        <f t="shared" si="5"/>
        <v>100</v>
      </c>
    </row>
    <row r="74" spans="1:6" ht="14.25" customHeight="1">
      <c r="A74" s="176" t="s">
        <v>500</v>
      </c>
      <c r="B74" s="176" t="s">
        <v>503</v>
      </c>
      <c r="C74" s="333">
        <v>6500000</v>
      </c>
      <c r="D74" s="333">
        <v>6500000</v>
      </c>
      <c r="E74" s="333">
        <v>6500000</v>
      </c>
      <c r="F74" s="310">
        <f t="shared" si="5"/>
        <v>100</v>
      </c>
    </row>
    <row r="75" spans="1:6" ht="14.25" customHeight="1">
      <c r="A75" s="176" t="s">
        <v>501</v>
      </c>
      <c r="B75" s="176" t="s">
        <v>846</v>
      </c>
      <c r="C75" s="333">
        <v>33692196</v>
      </c>
      <c r="D75" s="333">
        <v>33692196</v>
      </c>
      <c r="E75" s="333">
        <v>33692196</v>
      </c>
      <c r="F75" s="310">
        <f t="shared" si="5"/>
        <v>100</v>
      </c>
    </row>
    <row r="76" spans="1:6" ht="15" customHeight="1">
      <c r="A76" s="176" t="s">
        <v>502</v>
      </c>
      <c r="B76" s="176" t="s">
        <v>969</v>
      </c>
      <c r="C76" s="333">
        <v>50000</v>
      </c>
      <c r="D76" s="333">
        <v>50000</v>
      </c>
      <c r="E76" s="333">
        <v>50000</v>
      </c>
      <c r="F76" s="310">
        <f t="shared" si="5"/>
        <v>100</v>
      </c>
    </row>
    <row r="77" spans="1:6" ht="15" customHeight="1">
      <c r="A77" s="176" t="s">
        <v>1127</v>
      </c>
      <c r="B77" s="176" t="s">
        <v>1128</v>
      </c>
      <c r="C77" s="333">
        <v>343933</v>
      </c>
      <c r="D77" s="333">
        <v>343933</v>
      </c>
      <c r="E77" s="333">
        <v>343933</v>
      </c>
      <c r="F77" s="310">
        <f>ROUND(E77/D77*100,1)</f>
        <v>100</v>
      </c>
    </row>
    <row r="78" spans="1:6" ht="15" customHeight="1">
      <c r="A78" s="176" t="s">
        <v>1129</v>
      </c>
      <c r="B78" s="176" t="s">
        <v>1130</v>
      </c>
      <c r="C78" s="333">
        <v>590436</v>
      </c>
      <c r="D78" s="333">
        <v>0</v>
      </c>
      <c r="E78" s="333">
        <v>0</v>
      </c>
      <c r="F78" s="310">
        <v>0</v>
      </c>
    </row>
    <row r="79" spans="1:6" ht="15" customHeight="1">
      <c r="A79" s="176" t="s">
        <v>1131</v>
      </c>
      <c r="B79" s="646" t="s">
        <v>1132</v>
      </c>
      <c r="C79" s="333">
        <v>0</v>
      </c>
      <c r="D79" s="333">
        <v>4920000</v>
      </c>
      <c r="E79" s="333">
        <v>4920000</v>
      </c>
      <c r="F79" s="310">
        <f t="shared" si="5"/>
        <v>100</v>
      </c>
    </row>
    <row r="80" spans="1:6" ht="15" customHeight="1">
      <c r="A80" s="176" t="s">
        <v>1133</v>
      </c>
      <c r="B80" s="646" t="s">
        <v>1134</v>
      </c>
      <c r="C80" s="333">
        <v>0</v>
      </c>
      <c r="D80" s="333">
        <v>503</v>
      </c>
      <c r="E80" s="333">
        <v>503</v>
      </c>
      <c r="F80" s="310">
        <f t="shared" si="5"/>
        <v>100</v>
      </c>
    </row>
    <row r="81" spans="1:6" ht="26.25" customHeight="1">
      <c r="A81" s="176" t="s">
        <v>1135</v>
      </c>
      <c r="B81" s="647" t="s">
        <v>1183</v>
      </c>
      <c r="C81" s="333">
        <v>0</v>
      </c>
      <c r="D81" s="333">
        <v>405251</v>
      </c>
      <c r="E81" s="333">
        <v>405251</v>
      </c>
      <c r="F81" s="310">
        <f t="shared" si="5"/>
        <v>100</v>
      </c>
    </row>
    <row r="82" spans="1:6" ht="15" customHeight="1">
      <c r="A82" s="176" t="s">
        <v>1136</v>
      </c>
      <c r="B82" s="647" t="s">
        <v>1137</v>
      </c>
      <c r="C82" s="333">
        <v>0</v>
      </c>
      <c r="D82" s="333">
        <v>8423049</v>
      </c>
      <c r="E82" s="333">
        <v>8423049</v>
      </c>
      <c r="F82" s="310">
        <f t="shared" si="5"/>
        <v>100</v>
      </c>
    </row>
    <row r="83" spans="1:6" ht="15" customHeight="1">
      <c r="A83" s="176" t="s">
        <v>1138</v>
      </c>
      <c r="B83" s="648" t="s">
        <v>452</v>
      </c>
      <c r="C83" s="333">
        <v>368611389</v>
      </c>
      <c r="D83" s="333">
        <v>388199158</v>
      </c>
      <c r="E83" s="333">
        <v>388199158</v>
      </c>
      <c r="F83" s="310">
        <f t="shared" si="5"/>
        <v>100</v>
      </c>
    </row>
    <row r="84" spans="1:6" ht="32.25" customHeight="1">
      <c r="A84" s="409" t="s">
        <v>1139</v>
      </c>
      <c r="B84" s="458" t="s">
        <v>1196</v>
      </c>
      <c r="C84" s="70">
        <v>0</v>
      </c>
      <c r="D84" s="70">
        <v>1050000</v>
      </c>
      <c r="E84" s="70">
        <v>1050000</v>
      </c>
      <c r="F84" s="493">
        <f>ROUND(E84/D84*100,1)</f>
        <v>100</v>
      </c>
    </row>
    <row r="85" spans="1:6" s="20" customFormat="1" ht="28.5" customHeight="1">
      <c r="A85" s="121" t="s">
        <v>142</v>
      </c>
      <c r="B85" s="86" t="s">
        <v>162</v>
      </c>
      <c r="C85" s="70">
        <f>SUM(C86+C94+C97)</f>
        <v>3766763</v>
      </c>
      <c r="D85" s="70">
        <f>SUM(D86+D94+D97)</f>
        <v>4249574</v>
      </c>
      <c r="E85" s="70">
        <f>SUM(E86+E94+E97)</f>
        <v>3172273</v>
      </c>
      <c r="F85" s="317">
        <f>ROUND(E85/D85*100,1)</f>
        <v>74.599999999999994</v>
      </c>
    </row>
    <row r="86" spans="1:6" ht="20.100000000000001" customHeight="1">
      <c r="A86" s="409" t="s">
        <v>163</v>
      </c>
      <c r="B86" s="473" t="s">
        <v>164</v>
      </c>
      <c r="C86" s="490">
        <f>SUM(C87+C88+C89+C92)</f>
        <v>842530</v>
      </c>
      <c r="D86" s="490">
        <f t="shared" ref="D86:E86" si="7">SUM(D87+D88+D89+D92)</f>
        <v>1083231</v>
      </c>
      <c r="E86" s="490">
        <f t="shared" si="7"/>
        <v>1052307</v>
      </c>
      <c r="F86" s="310">
        <f>E86/D86*100</f>
        <v>97.145207254962244</v>
      </c>
    </row>
    <row r="87" spans="1:6" s="489" customFormat="1" ht="20.100000000000001" customHeight="1">
      <c r="A87" s="485" t="s">
        <v>491</v>
      </c>
      <c r="B87" s="486" t="s">
        <v>256</v>
      </c>
      <c r="C87" s="487">
        <v>450000</v>
      </c>
      <c r="D87" s="487">
        <v>450000</v>
      </c>
      <c r="E87" s="487">
        <v>449997</v>
      </c>
      <c r="F87" s="488">
        <f t="shared" ref="F87:F99" si="8">E87/D87*100</f>
        <v>99.999333333333325</v>
      </c>
    </row>
    <row r="88" spans="1:6" s="489" customFormat="1" ht="20.100000000000001" customHeight="1">
      <c r="A88" s="485" t="s">
        <v>492</v>
      </c>
      <c r="B88" s="486" t="s">
        <v>901</v>
      </c>
      <c r="C88" s="487">
        <v>110246</v>
      </c>
      <c r="D88" s="487">
        <v>110246</v>
      </c>
      <c r="E88" s="487">
        <v>110200</v>
      </c>
      <c r="F88" s="488">
        <f t="shared" si="8"/>
        <v>99.958275130163457</v>
      </c>
    </row>
    <row r="89" spans="1:6" s="489" customFormat="1" ht="20.100000000000001" customHeight="1">
      <c r="A89" s="485" t="s">
        <v>493</v>
      </c>
      <c r="B89" s="486" t="s">
        <v>948</v>
      </c>
      <c r="C89" s="487">
        <f>C90+C91</f>
        <v>254750</v>
      </c>
      <c r="D89" s="487">
        <f t="shared" ref="D89:E89" si="9">D90+D91</f>
        <v>495451</v>
      </c>
      <c r="E89" s="487">
        <f t="shared" si="9"/>
        <v>492110</v>
      </c>
      <c r="F89" s="439">
        <f t="shared" si="8"/>
        <v>99.325664899253411</v>
      </c>
    </row>
    <row r="90" spans="1:6" s="440" customFormat="1" ht="20.100000000000001" customHeight="1">
      <c r="A90" s="437" t="s">
        <v>902</v>
      </c>
      <c r="B90" s="242" t="s">
        <v>948</v>
      </c>
      <c r="C90" s="438">
        <v>250000</v>
      </c>
      <c r="D90" s="438">
        <v>492110</v>
      </c>
      <c r="E90" s="438">
        <v>492110</v>
      </c>
      <c r="F90" s="439">
        <f t="shared" si="8"/>
        <v>100</v>
      </c>
    </row>
    <row r="91" spans="1:6" s="440" customFormat="1" ht="30.75" customHeight="1">
      <c r="A91" s="437" t="s">
        <v>947</v>
      </c>
      <c r="B91" s="406" t="s">
        <v>1184</v>
      </c>
      <c r="C91" s="472">
        <v>4750</v>
      </c>
      <c r="D91" s="472">
        <v>3341</v>
      </c>
      <c r="E91" s="107">
        <v>0</v>
      </c>
      <c r="F91" s="439">
        <f t="shared" si="8"/>
        <v>0</v>
      </c>
    </row>
    <row r="92" spans="1:6" s="489" customFormat="1" ht="24.75" customHeight="1">
      <c r="A92" s="543" t="s">
        <v>903</v>
      </c>
      <c r="B92" s="458" t="s">
        <v>949</v>
      </c>
      <c r="C92" s="650">
        <f>SUM(C93)</f>
        <v>27534</v>
      </c>
      <c r="D92" s="650">
        <f>SUM(D93)</f>
        <v>27534</v>
      </c>
      <c r="E92" s="650">
        <f>SUM(E93)</f>
        <v>0</v>
      </c>
      <c r="F92" s="651">
        <f>E92/D92*100</f>
        <v>0</v>
      </c>
    </row>
    <row r="93" spans="1:6" s="440" customFormat="1" ht="27" customHeight="1">
      <c r="A93" s="437" t="s">
        <v>950</v>
      </c>
      <c r="B93" s="406" t="s">
        <v>1182</v>
      </c>
      <c r="C93" s="472">
        <v>27534</v>
      </c>
      <c r="D93" s="472">
        <v>27534</v>
      </c>
      <c r="E93" s="107">
        <v>0</v>
      </c>
      <c r="F93" s="439">
        <f t="shared" si="8"/>
        <v>0</v>
      </c>
    </row>
    <row r="94" spans="1:6" ht="20.100000000000001" customHeight="1">
      <c r="A94" s="409" t="s">
        <v>165</v>
      </c>
      <c r="B94" s="473" t="s">
        <v>166</v>
      </c>
      <c r="C94" s="490">
        <f>SUM(C96:C96)</f>
        <v>2024233</v>
      </c>
      <c r="D94" s="490">
        <f>SUM(D96:D96)</f>
        <v>2024233</v>
      </c>
      <c r="E94" s="490">
        <f>SUM(E96:E96)</f>
        <v>1877856</v>
      </c>
      <c r="F94" s="317">
        <f>E94/D94*100</f>
        <v>92.768767231835469</v>
      </c>
    </row>
    <row r="95" spans="1:6" ht="20.100000000000001" customHeight="1">
      <c r="A95" s="113" t="s">
        <v>951</v>
      </c>
      <c r="B95" s="314" t="s">
        <v>949</v>
      </c>
      <c r="C95" s="18">
        <f>C96</f>
        <v>2024233</v>
      </c>
      <c r="D95" s="18">
        <f t="shared" ref="D95:E95" si="10">D96</f>
        <v>2024233</v>
      </c>
      <c r="E95" s="18">
        <f t="shared" si="10"/>
        <v>1877856</v>
      </c>
      <c r="F95" s="317">
        <f>E95/D95*100</f>
        <v>92.768767231835469</v>
      </c>
    </row>
    <row r="96" spans="1:6" s="492" customFormat="1" ht="27.75" customHeight="1">
      <c r="A96" s="437" t="s">
        <v>952</v>
      </c>
      <c r="B96" s="441" t="s">
        <v>1185</v>
      </c>
      <c r="C96" s="107">
        <v>2024233</v>
      </c>
      <c r="D96" s="107">
        <v>2024233</v>
      </c>
      <c r="E96" s="107">
        <v>1877856</v>
      </c>
      <c r="F96" s="491">
        <f t="shared" si="8"/>
        <v>92.768767231835469</v>
      </c>
    </row>
    <row r="97" spans="1:27" s="494" customFormat="1" ht="20.100000000000001" customHeight="1">
      <c r="A97" s="409" t="s">
        <v>167</v>
      </c>
      <c r="B97" s="473" t="s">
        <v>954</v>
      </c>
      <c r="C97" s="490">
        <f>SUM(C98:C99)</f>
        <v>900000</v>
      </c>
      <c r="D97" s="490">
        <f t="shared" ref="D97:E97" si="11">SUM(D98:D99)</f>
        <v>1142110</v>
      </c>
      <c r="E97" s="490">
        <f t="shared" si="11"/>
        <v>242110</v>
      </c>
      <c r="F97" s="493">
        <f>E97/D97*100</f>
        <v>21.198483508593743</v>
      </c>
    </row>
    <row r="98" spans="1:27" ht="20.100000000000001" customHeight="1">
      <c r="A98" s="113" t="s">
        <v>487</v>
      </c>
      <c r="B98" s="636" t="s">
        <v>954</v>
      </c>
      <c r="C98" s="18">
        <v>900000</v>
      </c>
      <c r="D98" s="18">
        <v>900000</v>
      </c>
      <c r="E98" s="18">
        <v>0</v>
      </c>
      <c r="F98" s="310">
        <f t="shared" si="8"/>
        <v>0</v>
      </c>
    </row>
    <row r="99" spans="1:27" ht="20.100000000000001" customHeight="1">
      <c r="A99" s="113" t="s">
        <v>488</v>
      </c>
      <c r="B99" s="636" t="s">
        <v>953</v>
      </c>
      <c r="C99" s="18">
        <v>0</v>
      </c>
      <c r="D99" s="18">
        <v>242110</v>
      </c>
      <c r="E99" s="18">
        <v>242110</v>
      </c>
      <c r="F99" s="310">
        <f t="shared" si="8"/>
        <v>100</v>
      </c>
    </row>
    <row r="100" spans="1:27" s="174" customFormat="1" ht="20.25" customHeight="1">
      <c r="A100" s="733" t="s">
        <v>179</v>
      </c>
      <c r="B100" s="733"/>
      <c r="C100" s="172">
        <f>C67+C85</f>
        <v>1058689177</v>
      </c>
      <c r="D100" s="172">
        <f>D67+D85</f>
        <v>1107759095</v>
      </c>
      <c r="E100" s="172">
        <f>E67+E85</f>
        <v>1033138958</v>
      </c>
      <c r="F100" s="175">
        <f>E100/D100*100</f>
        <v>93.263866003284761</v>
      </c>
    </row>
    <row r="101" spans="1:27" s="158" customFormat="1" ht="20.100000000000001" customHeight="1">
      <c r="A101" s="121" t="s">
        <v>143</v>
      </c>
      <c r="B101" s="86" t="s">
        <v>120</v>
      </c>
      <c r="C101" s="70"/>
      <c r="D101" s="70"/>
      <c r="E101" s="70">
        <v>405044</v>
      </c>
      <c r="F101" s="317"/>
    </row>
    <row r="102" spans="1:27" s="174" customFormat="1" ht="20.25" customHeight="1">
      <c r="A102" s="733" t="s">
        <v>75</v>
      </c>
      <c r="B102" s="733"/>
      <c r="C102" s="172">
        <f>SUM(C100:C101)</f>
        <v>1058689177</v>
      </c>
      <c r="D102" s="172">
        <f>SUM(D100:D101)</f>
        <v>1107759095</v>
      </c>
      <c r="E102" s="172">
        <f>SUM(E100:E101)</f>
        <v>1033544002</v>
      </c>
      <c r="F102" s="175">
        <f>E102/D102*100</f>
        <v>93.300430270897479</v>
      </c>
    </row>
    <row r="103" spans="1:27" s="2" customFormat="1" ht="20.25" customHeight="1">
      <c r="A103" s="734" t="s">
        <v>169</v>
      </c>
      <c r="B103" s="734"/>
      <c r="C103" s="117">
        <v>120.5</v>
      </c>
      <c r="D103" s="117">
        <v>119.5</v>
      </c>
      <c r="E103" s="117">
        <v>115</v>
      </c>
      <c r="F103" s="175">
        <f>E103/D103*100</f>
        <v>96.23430962343096</v>
      </c>
    </row>
    <row r="104" spans="1:27" s="46" customFormat="1">
      <c r="A104" s="109"/>
      <c r="D104" s="110"/>
      <c r="E104" s="110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7" s="46" customFormat="1">
      <c r="A105" s="109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7" s="46" customFormat="1">
      <c r="A106" s="109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 s="46" customFormat="1">
      <c r="A107" s="109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 s="46" customFormat="1">
      <c r="A108" s="109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 s="46" customFormat="1">
      <c r="A109" s="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 s="46" customFormat="1">
      <c r="A110" s="109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 s="46" customFormat="1">
      <c r="A111" s="109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 s="46" customFormat="1">
      <c r="A112" s="109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 s="46" customFormat="1">
      <c r="A113" s="109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 s="46" customFormat="1">
      <c r="A114" s="109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 s="46" customFormat="1">
      <c r="A115" s="109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 s="46" customFormat="1">
      <c r="A116" s="109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 s="46" customFormat="1">
      <c r="A117" s="109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 s="46" customFormat="1">
      <c r="A118" s="109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 s="46" customFormat="1">
      <c r="A119" s="10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 s="46" customFormat="1">
      <c r="A120" s="109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 s="46" customFormat="1">
      <c r="A121" s="109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 s="46" customFormat="1">
      <c r="A122" s="109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 s="46" customFormat="1">
      <c r="A123" s="109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 s="46" customFormat="1">
      <c r="A124" s="109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 s="46" customFormat="1">
      <c r="A125" s="109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 s="46" customFormat="1">
      <c r="A126" s="109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 s="46" customFormat="1"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 s="46" customFormat="1"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7:27" s="46" customFormat="1"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7:27" s="46" customFormat="1"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7:27" s="46" customFormat="1"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</sheetData>
  <mergeCells count="16">
    <mergeCell ref="A100:B100"/>
    <mergeCell ref="A102:B102"/>
    <mergeCell ref="A103:B103"/>
    <mergeCell ref="A7:F7"/>
    <mergeCell ref="A8:F8"/>
    <mergeCell ref="A62:B62"/>
    <mergeCell ref="A64:B64"/>
    <mergeCell ref="A65:F65"/>
    <mergeCell ref="A66:F66"/>
    <mergeCell ref="A1:F1"/>
    <mergeCell ref="A2:F2"/>
    <mergeCell ref="A4:F4"/>
    <mergeCell ref="A5:A6"/>
    <mergeCell ref="B5:B6"/>
    <mergeCell ref="E5:F5"/>
    <mergeCell ref="C6:D6"/>
  </mergeCells>
  <pageMargins left="0.9055118110236221" right="0.51181102362204722" top="0.70866141732283472" bottom="0.6692913385826772" header="0.51181102362204722" footer="0.51181102362204722"/>
  <pageSetup paperSize="9" scale="55" orientation="portrait" r:id="rId1"/>
  <headerFooter alignWithMargins="0">
    <oddHeader>&amp;R1. számú melléklet</oddHeader>
  </headerFooter>
  <rowBreaks count="2" manualBreakCount="2">
    <brk id="65" max="5" man="1"/>
    <brk id="10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05CB-71D7-4210-88E5-57D43328E259}">
  <sheetPr>
    <tabColor theme="4" tint="0.59999389629810485"/>
  </sheetPr>
  <dimension ref="A1:V57"/>
  <sheetViews>
    <sheetView topLeftCell="A7" zoomScaleNormal="100" workbookViewId="0">
      <selection activeCell="D15" sqref="D15"/>
    </sheetView>
  </sheetViews>
  <sheetFormatPr defaultColWidth="9.140625" defaultRowHeight="12.75"/>
  <cols>
    <col min="1" max="1" width="6.28515625" style="56" customWidth="1"/>
    <col min="2" max="2" width="14.85546875" style="56" bestFit="1" customWidth="1"/>
    <col min="3" max="3" width="12.5703125" style="22" customWidth="1"/>
    <col min="4" max="4" width="10.42578125" style="22" bestFit="1" customWidth="1"/>
    <col min="5" max="5" width="10.42578125" style="22" customWidth="1"/>
    <col min="6" max="6" width="10" style="22" customWidth="1"/>
    <col min="7" max="7" width="10.5703125" style="22" customWidth="1"/>
    <col min="8" max="8" width="14.85546875" style="22" customWidth="1"/>
    <col min="9" max="9" width="12.85546875" style="22" bestFit="1" customWidth="1"/>
    <col min="10" max="10" width="12" style="56" bestFit="1" customWidth="1"/>
    <col min="11" max="22" width="9.140625" style="23"/>
    <col min="23" max="16384" width="9.140625" style="22"/>
  </cols>
  <sheetData>
    <row r="1" spans="1:22">
      <c r="A1" s="811" t="s">
        <v>1041</v>
      </c>
      <c r="B1" s="811"/>
      <c r="C1" s="811"/>
      <c r="D1" s="811"/>
      <c r="E1" s="811"/>
      <c r="F1" s="811"/>
      <c r="G1" s="811"/>
      <c r="H1" s="811"/>
      <c r="I1" s="811"/>
      <c r="J1" s="811"/>
    </row>
    <row r="2" spans="1:22">
      <c r="A2" s="812" t="s">
        <v>1043</v>
      </c>
      <c r="B2" s="812"/>
      <c r="C2" s="812"/>
      <c r="D2" s="812"/>
      <c r="E2" s="812"/>
      <c r="F2" s="812"/>
      <c r="G2" s="812"/>
      <c r="H2" s="812"/>
      <c r="I2" s="812"/>
      <c r="J2" s="812"/>
    </row>
    <row r="3" spans="1:22" ht="17.25" customHeight="1">
      <c r="A3" s="813"/>
      <c r="B3" s="813"/>
      <c r="C3" s="813"/>
      <c r="D3" s="813"/>
      <c r="E3" s="813"/>
      <c r="F3" s="813"/>
      <c r="G3" s="813"/>
      <c r="H3" s="813"/>
      <c r="I3" s="46"/>
      <c r="J3" s="60"/>
    </row>
    <row r="4" spans="1:22" ht="23.25" customHeight="1">
      <c r="A4" s="814"/>
      <c r="B4" s="814"/>
      <c r="C4" s="814"/>
      <c r="D4" s="814"/>
      <c r="E4" s="814"/>
      <c r="F4" s="814"/>
      <c r="G4" s="814"/>
      <c r="H4" s="814"/>
      <c r="I4" s="815" t="s">
        <v>198</v>
      </c>
      <c r="J4" s="815"/>
    </row>
    <row r="5" spans="1:22" s="56" customFormat="1" ht="13.5" customHeight="1">
      <c r="A5" s="816" t="s">
        <v>139</v>
      </c>
      <c r="B5" s="816" t="s">
        <v>53</v>
      </c>
      <c r="C5" s="819" t="s">
        <v>1047</v>
      </c>
      <c r="D5" s="819"/>
      <c r="E5" s="819"/>
      <c r="F5" s="819"/>
      <c r="G5" s="819"/>
      <c r="H5" s="820"/>
      <c r="I5" s="821" t="s">
        <v>196</v>
      </c>
      <c r="J5" s="824" t="s">
        <v>124</v>
      </c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s="56" customFormat="1" ht="31.5" customHeight="1">
      <c r="A6" s="817"/>
      <c r="B6" s="817"/>
      <c r="C6" s="804" t="s">
        <v>256</v>
      </c>
      <c r="D6" s="805"/>
      <c r="E6" s="805"/>
      <c r="F6" s="805"/>
      <c r="G6" s="806"/>
      <c r="H6" s="807" t="s">
        <v>78</v>
      </c>
      <c r="I6" s="822"/>
      <c r="J6" s="825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</row>
    <row r="7" spans="1:22" s="56" customFormat="1" ht="41.25" customHeight="1">
      <c r="A7" s="817"/>
      <c r="B7" s="817"/>
      <c r="C7" s="610" t="s">
        <v>211</v>
      </c>
      <c r="D7" s="611" t="s">
        <v>1067</v>
      </c>
      <c r="E7" s="611" t="s">
        <v>917</v>
      </c>
      <c r="F7" s="611" t="s">
        <v>212</v>
      </c>
      <c r="G7" s="807" t="s">
        <v>54</v>
      </c>
      <c r="H7" s="808"/>
      <c r="I7" s="822"/>
      <c r="J7" s="825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s="56" customFormat="1" ht="17.25" customHeight="1">
      <c r="A8" s="817"/>
      <c r="B8" s="817"/>
      <c r="C8" s="612" t="s">
        <v>446</v>
      </c>
      <c r="D8" s="612" t="s">
        <v>447</v>
      </c>
      <c r="E8" s="612" t="s">
        <v>918</v>
      </c>
      <c r="F8" s="612" t="s">
        <v>448</v>
      </c>
      <c r="G8" s="808"/>
      <c r="H8" s="808"/>
      <c r="I8" s="822"/>
      <c r="J8" s="825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s="56" customFormat="1">
      <c r="A9" s="818"/>
      <c r="B9" s="818"/>
      <c r="C9" s="613">
        <v>61828</v>
      </c>
      <c r="D9" s="613">
        <v>113440</v>
      </c>
      <c r="E9" s="613">
        <v>74654</v>
      </c>
      <c r="F9" s="613">
        <v>112095</v>
      </c>
      <c r="G9" s="809"/>
      <c r="H9" s="809"/>
      <c r="I9" s="823"/>
      <c r="J9" s="826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>
      <c r="A10" s="73" t="s">
        <v>141</v>
      </c>
      <c r="B10" s="68" t="s">
        <v>55</v>
      </c>
      <c r="C10" s="421"/>
      <c r="D10" s="423">
        <v>794080</v>
      </c>
      <c r="E10" s="590"/>
      <c r="F10" s="591"/>
      <c r="G10" s="71">
        <f>SUM(C10:F10)</f>
        <v>794080</v>
      </c>
      <c r="H10" s="71">
        <f>SUM(G10)</f>
        <v>794080</v>
      </c>
      <c r="I10" s="592">
        <v>794080</v>
      </c>
      <c r="J10" s="69">
        <f>I10-H10</f>
        <v>0</v>
      </c>
    </row>
    <row r="11" spans="1:22">
      <c r="A11" s="73" t="s">
        <v>142</v>
      </c>
      <c r="B11" s="68" t="s">
        <v>56</v>
      </c>
      <c r="C11" s="593"/>
      <c r="D11" s="593">
        <v>1474720</v>
      </c>
      <c r="E11" s="593"/>
      <c r="F11" s="71">
        <v>2241900</v>
      </c>
      <c r="G11" s="71">
        <f t="shared" ref="G11:G30" si="0">SUM(C11:F11)</f>
        <v>3716620</v>
      </c>
      <c r="H11" s="71">
        <f t="shared" ref="H11:H30" si="1">SUM(G11)</f>
        <v>3716620</v>
      </c>
      <c r="I11" s="592">
        <f>1474720+2241900</f>
        <v>3716620</v>
      </c>
      <c r="J11" s="69">
        <f t="shared" ref="J11:J30" si="2">I11-H11</f>
        <v>0</v>
      </c>
    </row>
    <row r="12" spans="1:22">
      <c r="A12" s="73" t="s">
        <v>143</v>
      </c>
      <c r="B12" s="68" t="s">
        <v>57</v>
      </c>
      <c r="C12" s="593"/>
      <c r="D12" s="592">
        <v>680640</v>
      </c>
      <c r="E12" s="592"/>
      <c r="F12" s="71"/>
      <c r="G12" s="71">
        <f t="shared" si="0"/>
        <v>680640</v>
      </c>
      <c r="H12" s="71">
        <f t="shared" si="1"/>
        <v>680640</v>
      </c>
      <c r="I12" s="592">
        <v>680640</v>
      </c>
      <c r="J12" s="69">
        <f t="shared" si="2"/>
        <v>0</v>
      </c>
    </row>
    <row r="13" spans="1:22">
      <c r="A13" s="73" t="s">
        <v>147</v>
      </c>
      <c r="B13" s="68" t="s">
        <v>58</v>
      </c>
      <c r="C13" s="593"/>
      <c r="D13" s="592">
        <v>0</v>
      </c>
      <c r="E13" s="592"/>
      <c r="F13" s="71"/>
      <c r="G13" s="71">
        <f t="shared" si="0"/>
        <v>0</v>
      </c>
      <c r="H13" s="71">
        <f t="shared" si="1"/>
        <v>0</v>
      </c>
      <c r="I13" s="592">
        <v>0</v>
      </c>
      <c r="J13" s="69">
        <f t="shared" si="2"/>
        <v>0</v>
      </c>
    </row>
    <row r="14" spans="1:22">
      <c r="A14" s="73" t="s">
        <v>148</v>
      </c>
      <c r="B14" s="68" t="s">
        <v>59</v>
      </c>
      <c r="C14" s="593"/>
      <c r="D14" s="592">
        <v>794080</v>
      </c>
      <c r="E14" s="593"/>
      <c r="F14" s="593"/>
      <c r="G14" s="71">
        <f t="shared" si="0"/>
        <v>794080</v>
      </c>
      <c r="H14" s="71">
        <f t="shared" si="1"/>
        <v>794080</v>
      </c>
      <c r="I14" s="592">
        <v>794080</v>
      </c>
      <c r="J14" s="69">
        <f t="shared" si="2"/>
        <v>0</v>
      </c>
    </row>
    <row r="15" spans="1:22">
      <c r="A15" s="73" t="s">
        <v>149</v>
      </c>
      <c r="B15" s="68" t="s">
        <v>60</v>
      </c>
      <c r="C15" s="593">
        <v>1298388</v>
      </c>
      <c r="D15" s="593">
        <v>10663360</v>
      </c>
      <c r="E15" s="593">
        <v>746540</v>
      </c>
      <c r="F15" s="593">
        <v>1120950</v>
      </c>
      <c r="G15" s="71">
        <f t="shared" si="0"/>
        <v>13829238</v>
      </c>
      <c r="H15" s="71">
        <f t="shared" si="1"/>
        <v>13829238</v>
      </c>
      <c r="I15" s="592">
        <v>13868024</v>
      </c>
      <c r="J15" s="69">
        <f t="shared" si="2"/>
        <v>38786</v>
      </c>
    </row>
    <row r="16" spans="1:22">
      <c r="A16" s="73" t="s">
        <v>150</v>
      </c>
      <c r="B16" s="68" t="s">
        <v>61</v>
      </c>
      <c r="C16" s="593"/>
      <c r="D16" s="592">
        <v>567200</v>
      </c>
      <c r="E16" s="592"/>
      <c r="F16" s="71"/>
      <c r="G16" s="71">
        <f t="shared" si="0"/>
        <v>567200</v>
      </c>
      <c r="H16" s="71">
        <f t="shared" si="1"/>
        <v>567200</v>
      </c>
      <c r="I16" s="592">
        <v>567200</v>
      </c>
      <c r="J16" s="69">
        <f t="shared" si="2"/>
        <v>0</v>
      </c>
    </row>
    <row r="17" spans="1:22">
      <c r="A17" s="73" t="s">
        <v>151</v>
      </c>
      <c r="B17" s="68" t="s">
        <v>192</v>
      </c>
      <c r="C17" s="593"/>
      <c r="D17" s="592">
        <v>1361280</v>
      </c>
      <c r="E17" s="592"/>
      <c r="F17" s="71"/>
      <c r="G17" s="71">
        <f t="shared" si="0"/>
        <v>1361280</v>
      </c>
      <c r="H17" s="71">
        <f t="shared" si="1"/>
        <v>1361280</v>
      </c>
      <c r="I17" s="592">
        <v>1361280</v>
      </c>
      <c r="J17" s="69">
        <f t="shared" si="2"/>
        <v>0</v>
      </c>
    </row>
    <row r="18" spans="1:22">
      <c r="A18" s="73" t="s">
        <v>152</v>
      </c>
      <c r="B18" s="68" t="s">
        <v>62</v>
      </c>
      <c r="C18" s="593"/>
      <c r="D18" s="592">
        <v>1247840</v>
      </c>
      <c r="E18" s="592"/>
      <c r="F18" s="71"/>
      <c r="G18" s="71">
        <f t="shared" si="0"/>
        <v>1247840</v>
      </c>
      <c r="H18" s="71">
        <f t="shared" si="1"/>
        <v>1247840</v>
      </c>
      <c r="I18" s="592">
        <v>1247840</v>
      </c>
      <c r="J18" s="69">
        <f t="shared" si="2"/>
        <v>0</v>
      </c>
    </row>
    <row r="19" spans="1:22">
      <c r="A19" s="73" t="s">
        <v>218</v>
      </c>
      <c r="B19" s="68" t="s">
        <v>63</v>
      </c>
      <c r="C19" s="593"/>
      <c r="D19" s="592">
        <v>1361280</v>
      </c>
      <c r="E19" s="592"/>
      <c r="F19" s="71"/>
      <c r="G19" s="71">
        <f t="shared" si="0"/>
        <v>1361280</v>
      </c>
      <c r="H19" s="71">
        <f t="shared" si="1"/>
        <v>1361280</v>
      </c>
      <c r="I19" s="592">
        <v>1361280</v>
      </c>
      <c r="J19" s="69">
        <f t="shared" si="2"/>
        <v>0</v>
      </c>
    </row>
    <row r="20" spans="1:22">
      <c r="A20" s="73" t="s">
        <v>219</v>
      </c>
      <c r="B20" s="68" t="s">
        <v>64</v>
      </c>
      <c r="C20" s="593"/>
      <c r="D20" s="592">
        <v>1701600</v>
      </c>
      <c r="E20" s="592"/>
      <c r="F20" s="71"/>
      <c r="G20" s="71">
        <f t="shared" si="0"/>
        <v>1701600</v>
      </c>
      <c r="H20" s="71">
        <f t="shared" si="1"/>
        <v>1701600</v>
      </c>
      <c r="I20" s="592">
        <v>1701600</v>
      </c>
      <c r="J20" s="69">
        <f t="shared" si="2"/>
        <v>0</v>
      </c>
    </row>
    <row r="21" spans="1:22">
      <c r="A21" s="73" t="s">
        <v>220</v>
      </c>
      <c r="B21" s="68" t="s">
        <v>65</v>
      </c>
      <c r="C21" s="593"/>
      <c r="D21" s="592">
        <v>1474720</v>
      </c>
      <c r="E21" s="592"/>
      <c r="F21" s="71"/>
      <c r="G21" s="71">
        <f t="shared" si="0"/>
        <v>1474720</v>
      </c>
      <c r="H21" s="71">
        <f t="shared" si="1"/>
        <v>1474720</v>
      </c>
      <c r="I21" s="592">
        <v>1474720</v>
      </c>
      <c r="J21" s="69">
        <f t="shared" si="2"/>
        <v>0</v>
      </c>
    </row>
    <row r="22" spans="1:22">
      <c r="A22" s="73" t="s">
        <v>221</v>
      </c>
      <c r="B22" s="68" t="s">
        <v>66</v>
      </c>
      <c r="C22" s="593"/>
      <c r="D22" s="592">
        <v>0</v>
      </c>
      <c r="E22" s="592"/>
      <c r="F22" s="71"/>
      <c r="G22" s="71">
        <f t="shared" si="0"/>
        <v>0</v>
      </c>
      <c r="H22" s="71">
        <f t="shared" si="1"/>
        <v>0</v>
      </c>
      <c r="I22" s="592">
        <v>0</v>
      </c>
      <c r="J22" s="69">
        <f t="shared" si="2"/>
        <v>0</v>
      </c>
    </row>
    <row r="23" spans="1:22">
      <c r="A23" s="73" t="s">
        <v>222</v>
      </c>
      <c r="B23" s="68" t="s">
        <v>67</v>
      </c>
      <c r="C23" s="593"/>
      <c r="D23" s="592">
        <v>680640</v>
      </c>
      <c r="E23" s="592"/>
      <c r="F23" s="71"/>
      <c r="G23" s="71">
        <f t="shared" si="0"/>
        <v>680640</v>
      </c>
      <c r="H23" s="71">
        <f t="shared" si="1"/>
        <v>680640</v>
      </c>
      <c r="I23" s="592">
        <v>680640</v>
      </c>
      <c r="J23" s="69">
        <f t="shared" si="2"/>
        <v>0</v>
      </c>
    </row>
    <row r="24" spans="1:22">
      <c r="A24" s="73" t="s">
        <v>223</v>
      </c>
      <c r="B24" s="68" t="s">
        <v>68</v>
      </c>
      <c r="C24" s="593"/>
      <c r="D24" s="592">
        <v>1361280</v>
      </c>
      <c r="E24" s="592"/>
      <c r="F24" s="71"/>
      <c r="G24" s="71">
        <f t="shared" si="0"/>
        <v>1361280</v>
      </c>
      <c r="H24" s="71">
        <f t="shared" si="1"/>
        <v>1361280</v>
      </c>
      <c r="I24" s="592">
        <v>1361280</v>
      </c>
      <c r="J24" s="69">
        <f t="shared" si="2"/>
        <v>0</v>
      </c>
    </row>
    <row r="25" spans="1:22">
      <c r="A25" s="73" t="s">
        <v>224</v>
      </c>
      <c r="B25" s="68" t="s">
        <v>69</v>
      </c>
      <c r="C25" s="593"/>
      <c r="D25" s="592">
        <v>0</v>
      </c>
      <c r="E25" s="592"/>
      <c r="F25" s="71"/>
      <c r="G25" s="71">
        <f t="shared" si="0"/>
        <v>0</v>
      </c>
      <c r="H25" s="71">
        <f t="shared" si="1"/>
        <v>0</v>
      </c>
      <c r="I25" s="592">
        <v>0</v>
      </c>
      <c r="J25" s="69">
        <f t="shared" si="2"/>
        <v>0</v>
      </c>
    </row>
    <row r="26" spans="1:22">
      <c r="A26" s="73" t="s">
        <v>225</v>
      </c>
      <c r="B26" s="68" t="s">
        <v>70</v>
      </c>
      <c r="C26" s="593"/>
      <c r="D26" s="592">
        <v>2609120</v>
      </c>
      <c r="E26" s="592"/>
      <c r="F26" s="592"/>
      <c r="G26" s="71">
        <f t="shared" si="0"/>
        <v>2609120</v>
      </c>
      <c r="H26" s="71">
        <f t="shared" si="1"/>
        <v>2609120</v>
      </c>
      <c r="I26" s="592">
        <v>2609120</v>
      </c>
      <c r="J26" s="69">
        <f t="shared" si="2"/>
        <v>0</v>
      </c>
    </row>
    <row r="27" spans="1:22">
      <c r="A27" s="73" t="s">
        <v>226</v>
      </c>
      <c r="B27" s="68" t="s">
        <v>71</v>
      </c>
      <c r="C27" s="593"/>
      <c r="D27" s="592">
        <v>0</v>
      </c>
      <c r="E27" s="592"/>
      <c r="F27" s="592"/>
      <c r="G27" s="71">
        <f t="shared" si="0"/>
        <v>0</v>
      </c>
      <c r="H27" s="71">
        <f t="shared" si="1"/>
        <v>0</v>
      </c>
      <c r="I27" s="592">
        <v>0</v>
      </c>
      <c r="J27" s="69">
        <f t="shared" si="2"/>
        <v>0</v>
      </c>
    </row>
    <row r="28" spans="1:22">
      <c r="A28" s="73" t="s">
        <v>227</v>
      </c>
      <c r="B28" s="68" t="s">
        <v>72</v>
      </c>
      <c r="C28" s="593"/>
      <c r="D28" s="592">
        <v>567200</v>
      </c>
      <c r="E28" s="592"/>
      <c r="F28" s="592"/>
      <c r="G28" s="71">
        <f t="shared" si="0"/>
        <v>567200</v>
      </c>
      <c r="H28" s="71">
        <f t="shared" si="1"/>
        <v>567200</v>
      </c>
      <c r="I28" s="592">
        <v>567200</v>
      </c>
      <c r="J28" s="69">
        <f t="shared" si="2"/>
        <v>0</v>
      </c>
    </row>
    <row r="29" spans="1:22" s="56" customFormat="1" ht="18" customHeight="1">
      <c r="A29" s="73" t="s">
        <v>228</v>
      </c>
      <c r="B29" s="68" t="s">
        <v>249</v>
      </c>
      <c r="C29" s="593"/>
      <c r="D29" s="592">
        <v>1474720</v>
      </c>
      <c r="E29" s="592"/>
      <c r="F29" s="592"/>
      <c r="G29" s="71">
        <f t="shared" si="0"/>
        <v>1474720</v>
      </c>
      <c r="H29" s="71">
        <f t="shared" si="1"/>
        <v>1474720</v>
      </c>
      <c r="I29" s="592">
        <v>1474720</v>
      </c>
      <c r="J29" s="69">
        <f t="shared" si="2"/>
        <v>0</v>
      </c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</row>
    <row r="30" spans="1:22" s="50" customFormat="1" ht="22.5" customHeight="1">
      <c r="A30" s="73" t="s">
        <v>229</v>
      </c>
      <c r="B30" s="68" t="s">
        <v>251</v>
      </c>
      <c r="C30" s="593"/>
      <c r="D30" s="592">
        <v>0</v>
      </c>
      <c r="E30" s="592"/>
      <c r="F30" s="592"/>
      <c r="G30" s="71">
        <f t="shared" si="0"/>
        <v>0</v>
      </c>
      <c r="H30" s="71">
        <f t="shared" si="1"/>
        <v>0</v>
      </c>
      <c r="I30" s="592">
        <v>0</v>
      </c>
      <c r="J30" s="69">
        <f t="shared" si="2"/>
        <v>0</v>
      </c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</row>
    <row r="31" spans="1:22" s="23" customFormat="1" ht="15.75">
      <c r="A31" s="609"/>
      <c r="B31" s="614" t="s">
        <v>54</v>
      </c>
      <c r="C31" s="615">
        <f>SUM(C10:C28)</f>
        <v>1298388</v>
      </c>
      <c r="D31" s="615">
        <f>SUM(D10:D30)</f>
        <v>28813760</v>
      </c>
      <c r="E31" s="615">
        <f>SUM(E10:E28)</f>
        <v>746540</v>
      </c>
      <c r="F31" s="615">
        <f>SUM(F10:F28)</f>
        <v>3362850</v>
      </c>
      <c r="G31" s="615">
        <f>SUM(G10:G30)</f>
        <v>34221538</v>
      </c>
      <c r="H31" s="615">
        <f>SUM(H10:H30)</f>
        <v>34221538</v>
      </c>
      <c r="I31" s="615">
        <f>SUM(I10:I30)</f>
        <v>34260324</v>
      </c>
      <c r="J31" s="615">
        <f>SUM(J10:J30)</f>
        <v>38786</v>
      </c>
    </row>
    <row r="32" spans="1:22" s="23" customFormat="1">
      <c r="A32" s="810"/>
      <c r="B32" s="810"/>
      <c r="C32" s="810"/>
      <c r="D32" s="810"/>
      <c r="E32" s="810"/>
      <c r="F32" s="810"/>
      <c r="G32" s="810"/>
      <c r="H32" s="810"/>
      <c r="I32" s="810"/>
      <c r="J32" s="810"/>
    </row>
    <row r="33" spans="1:10">
      <c r="A33" s="60"/>
      <c r="B33" s="60"/>
      <c r="C33" s="23"/>
      <c r="D33" s="23"/>
      <c r="E33" s="23"/>
      <c r="F33" s="23"/>
      <c r="G33" s="23"/>
      <c r="H33" s="23"/>
      <c r="I33" s="23"/>
      <c r="J33" s="60"/>
    </row>
    <row r="34" spans="1:10">
      <c r="A34" s="60"/>
      <c r="B34" s="60"/>
      <c r="C34" s="23"/>
      <c r="D34" s="23"/>
      <c r="E34" s="23"/>
      <c r="F34" s="23"/>
      <c r="G34" s="23"/>
      <c r="H34" s="23"/>
      <c r="I34" s="23"/>
      <c r="J34" s="60"/>
    </row>
    <row r="35" spans="1:10">
      <c r="A35" s="60"/>
      <c r="B35" s="60"/>
      <c r="C35" s="23"/>
      <c r="D35" s="23"/>
      <c r="E35" s="23"/>
      <c r="F35" s="23"/>
      <c r="G35" s="23"/>
      <c r="H35" s="23"/>
      <c r="I35" s="23"/>
      <c r="J35" s="60"/>
    </row>
    <row r="36" spans="1:10">
      <c r="A36" s="60"/>
      <c r="B36" s="60"/>
      <c r="C36" s="23"/>
      <c r="D36" s="23"/>
      <c r="E36" s="23"/>
      <c r="F36" s="23"/>
      <c r="G36" s="23"/>
      <c r="H36" s="23"/>
      <c r="I36" s="23"/>
      <c r="J36" s="60"/>
    </row>
    <row r="37" spans="1:10">
      <c r="A37" s="60"/>
      <c r="B37" s="60"/>
      <c r="C37" s="23"/>
      <c r="D37" s="23"/>
      <c r="E37" s="23"/>
      <c r="F37" s="23"/>
      <c r="G37" s="23"/>
      <c r="H37" s="23"/>
      <c r="I37" s="23"/>
      <c r="J37" s="60"/>
    </row>
    <row r="38" spans="1:10">
      <c r="A38" s="60"/>
      <c r="B38" s="60"/>
      <c r="C38" s="23"/>
      <c r="D38" s="23"/>
      <c r="E38" s="23"/>
      <c r="F38" s="23"/>
      <c r="G38" s="23"/>
      <c r="H38" s="23"/>
      <c r="I38" s="23"/>
      <c r="J38" s="60"/>
    </row>
    <row r="39" spans="1:10">
      <c r="A39" s="60"/>
      <c r="B39" s="60"/>
      <c r="C39" s="23"/>
      <c r="D39" s="23"/>
      <c r="E39" s="23"/>
      <c r="F39" s="23"/>
      <c r="G39" s="23"/>
      <c r="H39" s="23"/>
      <c r="I39" s="23"/>
      <c r="J39" s="60"/>
    </row>
    <row r="40" spans="1:10">
      <c r="A40" s="60"/>
      <c r="B40" s="60"/>
      <c r="C40" s="23"/>
      <c r="D40" s="23"/>
      <c r="E40" s="23"/>
      <c r="F40" s="23"/>
      <c r="G40" s="23"/>
      <c r="H40" s="23"/>
      <c r="I40" s="23"/>
      <c r="J40" s="60"/>
    </row>
    <row r="41" spans="1:10">
      <c r="A41" s="60"/>
      <c r="B41" s="60"/>
      <c r="C41" s="23"/>
      <c r="D41" s="23"/>
      <c r="E41" s="23"/>
      <c r="F41" s="23"/>
      <c r="G41" s="23"/>
      <c r="H41" s="23"/>
      <c r="I41" s="23"/>
      <c r="J41" s="60"/>
    </row>
    <row r="42" spans="1:10">
      <c r="A42" s="60"/>
      <c r="B42" s="60"/>
      <c r="C42" s="23"/>
      <c r="D42" s="23"/>
      <c r="E42" s="23"/>
      <c r="F42" s="23"/>
      <c r="G42" s="23"/>
      <c r="H42" s="23"/>
      <c r="I42" s="23"/>
      <c r="J42" s="60"/>
    </row>
    <row r="43" spans="1:10">
      <c r="A43" s="60"/>
      <c r="B43" s="60"/>
      <c r="C43" s="23"/>
      <c r="D43" s="23"/>
      <c r="E43" s="23"/>
      <c r="F43" s="23"/>
      <c r="G43" s="23"/>
      <c r="H43" s="23"/>
      <c r="I43" s="23"/>
      <c r="J43" s="60"/>
    </row>
    <row r="44" spans="1:10">
      <c r="A44" s="60"/>
      <c r="B44" s="60"/>
      <c r="C44" s="23"/>
      <c r="D44" s="23"/>
      <c r="E44" s="23"/>
      <c r="F44" s="23"/>
      <c r="G44" s="23"/>
      <c r="H44" s="23"/>
      <c r="I44" s="23"/>
      <c r="J44" s="60"/>
    </row>
    <row r="45" spans="1:10">
      <c r="A45" s="60"/>
      <c r="B45" s="60"/>
      <c r="C45" s="23"/>
      <c r="D45" s="23"/>
      <c r="E45" s="23"/>
      <c r="F45" s="23"/>
      <c r="G45" s="23"/>
      <c r="H45" s="23"/>
      <c r="I45" s="23"/>
      <c r="J45" s="60"/>
    </row>
    <row r="46" spans="1:10">
      <c r="A46" s="60"/>
      <c r="B46" s="60"/>
      <c r="C46" s="23"/>
      <c r="D46" s="23"/>
      <c r="E46" s="23"/>
      <c r="F46" s="23"/>
      <c r="G46" s="23"/>
      <c r="H46" s="23"/>
      <c r="I46" s="23"/>
      <c r="J46" s="60"/>
    </row>
    <row r="47" spans="1:10">
      <c r="A47" s="60"/>
      <c r="B47" s="60"/>
      <c r="C47" s="23"/>
      <c r="D47" s="23"/>
      <c r="E47" s="23"/>
      <c r="F47" s="23"/>
      <c r="G47" s="23"/>
      <c r="H47" s="23"/>
      <c r="I47" s="23"/>
      <c r="J47" s="60"/>
    </row>
    <row r="48" spans="1:10">
      <c r="A48" s="60"/>
      <c r="B48" s="60"/>
      <c r="C48" s="23"/>
      <c r="D48" s="23"/>
      <c r="E48" s="23"/>
      <c r="F48" s="23"/>
      <c r="G48" s="23"/>
      <c r="H48" s="23"/>
      <c r="I48" s="23"/>
      <c r="J48" s="60"/>
    </row>
    <row r="49" spans="1:10">
      <c r="A49" s="60"/>
      <c r="B49" s="60"/>
      <c r="C49" s="23"/>
      <c r="D49" s="23"/>
      <c r="E49" s="23"/>
      <c r="F49" s="23"/>
      <c r="G49" s="23"/>
      <c r="H49" s="23"/>
      <c r="I49" s="23"/>
      <c r="J49" s="60"/>
    </row>
    <row r="50" spans="1:10">
      <c r="A50" s="60"/>
      <c r="B50" s="60"/>
      <c r="C50" s="23"/>
      <c r="D50" s="23"/>
      <c r="E50" s="23"/>
      <c r="F50" s="23"/>
      <c r="G50" s="23"/>
      <c r="H50" s="23"/>
      <c r="I50" s="23"/>
      <c r="J50" s="60"/>
    </row>
    <row r="51" spans="1:10">
      <c r="A51" s="60"/>
      <c r="B51" s="60"/>
      <c r="C51" s="23"/>
      <c r="D51" s="23"/>
      <c r="E51" s="23"/>
      <c r="F51" s="23"/>
      <c r="G51" s="23"/>
      <c r="H51" s="23"/>
      <c r="I51" s="23"/>
      <c r="J51" s="60"/>
    </row>
    <row r="52" spans="1:10">
      <c r="A52" s="60"/>
      <c r="B52" s="60"/>
      <c r="C52" s="23"/>
      <c r="D52" s="23"/>
      <c r="E52" s="23"/>
      <c r="F52" s="23"/>
      <c r="G52" s="23"/>
      <c r="H52" s="23"/>
      <c r="I52" s="23"/>
      <c r="J52" s="60"/>
    </row>
    <row r="53" spans="1:10">
      <c r="A53" s="60"/>
      <c r="B53" s="60"/>
      <c r="C53" s="23"/>
      <c r="D53" s="23"/>
      <c r="E53" s="23"/>
      <c r="F53" s="23"/>
      <c r="G53" s="23"/>
      <c r="H53" s="23"/>
      <c r="I53" s="23"/>
      <c r="J53" s="60"/>
    </row>
    <row r="54" spans="1:10">
      <c r="A54" s="60"/>
      <c r="B54" s="60"/>
      <c r="C54" s="23"/>
      <c r="D54" s="23"/>
      <c r="E54" s="23"/>
      <c r="F54" s="23"/>
      <c r="G54" s="23"/>
      <c r="H54" s="23"/>
      <c r="I54" s="23"/>
      <c r="J54" s="60"/>
    </row>
    <row r="55" spans="1:10">
      <c r="A55" s="60"/>
      <c r="B55" s="60"/>
      <c r="C55" s="23"/>
      <c r="D55" s="23"/>
      <c r="E55" s="23"/>
      <c r="F55" s="23"/>
      <c r="G55" s="23"/>
      <c r="H55" s="23"/>
      <c r="I55" s="23"/>
      <c r="J55" s="60"/>
    </row>
    <row r="56" spans="1:10">
      <c r="A56" s="60"/>
      <c r="B56" s="60"/>
      <c r="C56" s="23"/>
      <c r="D56" s="23"/>
      <c r="E56" s="23"/>
      <c r="F56" s="23"/>
      <c r="G56" s="23"/>
      <c r="H56" s="23"/>
      <c r="I56" s="23"/>
      <c r="J56" s="60"/>
    </row>
    <row r="57" spans="1:10">
      <c r="A57" s="60"/>
      <c r="B57" s="60"/>
      <c r="C57" s="23"/>
      <c r="D57" s="23"/>
      <c r="E57" s="23"/>
      <c r="F57" s="23"/>
      <c r="G57" s="23"/>
      <c r="H57" s="23"/>
      <c r="I57" s="23"/>
      <c r="J57" s="60"/>
    </row>
  </sheetData>
  <mergeCells count="14">
    <mergeCell ref="C6:G6"/>
    <mergeCell ref="H6:H9"/>
    <mergeCell ref="G7:G9"/>
    <mergeCell ref="A32:J32"/>
    <mergeCell ref="A1:J1"/>
    <mergeCell ref="A2:J2"/>
    <mergeCell ref="A3:H3"/>
    <mergeCell ref="A4:H4"/>
    <mergeCell ref="I4:J4"/>
    <mergeCell ref="A5:A9"/>
    <mergeCell ref="B5:B9"/>
    <mergeCell ref="C5:H5"/>
    <mergeCell ref="I5:I9"/>
    <mergeCell ref="J5:J9"/>
  </mergeCells>
  <phoneticPr fontId="12" type="noConversion"/>
  <pageMargins left="0.74" right="0.46" top="0.98425196850393704" bottom="0.98425196850393704" header="0.51181102362204722" footer="0.51181102362204722"/>
  <pageSetup paperSize="9" scale="97" orientation="landscape" r:id="rId1"/>
  <headerFooter alignWithMargins="0">
    <oddHeader>&amp;R4/a  sz. melléklet</oddHeader>
  </headerFooter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2B2F3-FC9F-4309-9352-F190ECD03FAC}">
  <sheetPr>
    <tabColor theme="4" tint="0.59999389629810485"/>
  </sheetPr>
  <dimension ref="A1:AC51"/>
  <sheetViews>
    <sheetView topLeftCell="A19" zoomScaleNormal="100" workbookViewId="0">
      <selection activeCell="N31" sqref="N31"/>
    </sheetView>
  </sheetViews>
  <sheetFormatPr defaultColWidth="9.140625" defaultRowHeight="12.75"/>
  <cols>
    <col min="1" max="1" width="5.7109375" style="22" customWidth="1"/>
    <col min="2" max="2" width="17.5703125" style="22" customWidth="1"/>
    <col min="3" max="3" width="11.7109375" style="22" customWidth="1"/>
    <col min="4" max="4" width="12.42578125" style="22" customWidth="1"/>
    <col min="5" max="5" width="10.42578125" style="22" customWidth="1"/>
    <col min="6" max="6" width="11.28515625" style="22" customWidth="1"/>
    <col min="7" max="8" width="18.28515625" style="22" customWidth="1"/>
    <col min="9" max="9" width="16" style="22" customWidth="1"/>
    <col min="10" max="10" width="15.5703125" style="22" customWidth="1"/>
    <col min="11" max="11" width="12.140625" style="22" customWidth="1"/>
    <col min="12" max="12" width="12" style="22" customWidth="1"/>
    <col min="13" max="13" width="13.5703125" style="22" customWidth="1"/>
    <col min="14" max="14" width="14.140625" style="22" bestFit="1" customWidth="1"/>
    <col min="15" max="15" width="12.7109375" style="56" customWidth="1"/>
    <col min="16" max="16" width="10" style="23" bestFit="1" customWidth="1"/>
    <col min="17" max="29" width="9.140625" style="23"/>
    <col min="30" max="16384" width="9.140625" style="22"/>
  </cols>
  <sheetData>
    <row r="1" spans="1:29">
      <c r="A1" s="811" t="s">
        <v>1041</v>
      </c>
      <c r="B1" s="811"/>
      <c r="C1" s="811"/>
      <c r="D1" s="811"/>
      <c r="E1" s="811"/>
      <c r="F1" s="811"/>
      <c r="G1" s="811"/>
      <c r="H1" s="811"/>
      <c r="I1" s="811"/>
      <c r="J1" s="811"/>
      <c r="K1" s="811"/>
      <c r="L1" s="811"/>
      <c r="M1" s="811"/>
      <c r="N1" s="811"/>
      <c r="O1" s="811"/>
    </row>
    <row r="2" spans="1:29" ht="15.75" customHeight="1">
      <c r="A2" s="827" t="s">
        <v>1044</v>
      </c>
      <c r="B2" s="827"/>
      <c r="C2" s="827"/>
      <c r="D2" s="827"/>
      <c r="E2" s="827"/>
      <c r="F2" s="827"/>
      <c r="G2" s="827"/>
      <c r="H2" s="827"/>
      <c r="I2" s="827"/>
      <c r="J2" s="827"/>
      <c r="K2" s="827"/>
      <c r="L2" s="827"/>
      <c r="M2" s="827"/>
      <c r="N2" s="827"/>
      <c r="O2" s="827"/>
    </row>
    <row r="3" spans="1:29" ht="1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46"/>
      <c r="O3" s="60"/>
    </row>
    <row r="4" spans="1:29">
      <c r="A4" s="594"/>
      <c r="B4" s="594"/>
      <c r="C4" s="594"/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815" t="s">
        <v>198</v>
      </c>
      <c r="O4" s="815"/>
    </row>
    <row r="5" spans="1:29" s="56" customFormat="1" ht="12.75" customHeight="1">
      <c r="A5" s="816" t="s">
        <v>139</v>
      </c>
      <c r="B5" s="816" t="s">
        <v>53</v>
      </c>
      <c r="C5" s="828" t="s">
        <v>1047</v>
      </c>
      <c r="D5" s="828"/>
      <c r="E5" s="828"/>
      <c r="F5" s="828"/>
      <c r="G5" s="828"/>
      <c r="H5" s="828"/>
      <c r="I5" s="828"/>
      <c r="J5" s="828"/>
      <c r="K5" s="828"/>
      <c r="L5" s="828"/>
      <c r="M5" s="829"/>
      <c r="N5" s="821" t="s">
        <v>200</v>
      </c>
      <c r="O5" s="824" t="s">
        <v>124</v>
      </c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</row>
    <row r="6" spans="1:29" s="56" customFormat="1" ht="27.75" customHeight="1">
      <c r="A6" s="817"/>
      <c r="B6" s="817"/>
      <c r="C6" s="805" t="s">
        <v>255</v>
      </c>
      <c r="D6" s="805"/>
      <c r="E6" s="806"/>
      <c r="F6" s="804" t="s">
        <v>256</v>
      </c>
      <c r="G6" s="805"/>
      <c r="H6" s="805"/>
      <c r="I6" s="805"/>
      <c r="J6" s="805"/>
      <c r="K6" s="805"/>
      <c r="L6" s="805"/>
      <c r="M6" s="807" t="s">
        <v>77</v>
      </c>
      <c r="N6" s="822"/>
      <c r="O6" s="825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</row>
    <row r="7" spans="1:29" s="56" customFormat="1" ht="66.75" customHeight="1">
      <c r="A7" s="817"/>
      <c r="B7" s="817"/>
      <c r="C7" s="617" t="s">
        <v>1068</v>
      </c>
      <c r="D7" s="618" t="s">
        <v>482</v>
      </c>
      <c r="E7" s="807" t="s">
        <v>54</v>
      </c>
      <c r="F7" s="619" t="s">
        <v>213</v>
      </c>
      <c r="G7" s="619" t="s">
        <v>1070</v>
      </c>
      <c r="H7" s="619" t="s">
        <v>1067</v>
      </c>
      <c r="I7" s="619" t="s">
        <v>199</v>
      </c>
      <c r="J7" s="619" t="s">
        <v>917</v>
      </c>
      <c r="K7" s="618" t="s">
        <v>211</v>
      </c>
      <c r="L7" s="831" t="s">
        <v>54</v>
      </c>
      <c r="M7" s="808"/>
      <c r="N7" s="822"/>
      <c r="O7" s="825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</row>
    <row r="8" spans="1:29" s="56" customFormat="1" ht="13.5" customHeight="1">
      <c r="A8" s="817"/>
      <c r="B8" s="817"/>
      <c r="C8" s="834" t="s">
        <v>1048</v>
      </c>
      <c r="D8" s="834" t="s">
        <v>1049</v>
      </c>
      <c r="E8" s="808"/>
      <c r="F8" s="620"/>
      <c r="G8" s="620"/>
      <c r="H8" s="620"/>
      <c r="I8" s="620"/>
      <c r="J8" s="620"/>
      <c r="K8" s="621"/>
      <c r="L8" s="832"/>
      <c r="M8" s="808"/>
      <c r="N8" s="822"/>
      <c r="O8" s="825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</row>
    <row r="9" spans="1:29" s="56" customFormat="1" ht="28.5" customHeight="1">
      <c r="A9" s="818"/>
      <c r="B9" s="818"/>
      <c r="C9" s="835"/>
      <c r="D9" s="835"/>
      <c r="E9" s="809"/>
      <c r="F9" s="622" t="s">
        <v>1069</v>
      </c>
      <c r="G9" s="622" t="s">
        <v>1071</v>
      </c>
      <c r="H9" s="622" t="s">
        <v>1072</v>
      </c>
      <c r="I9" s="622" t="s">
        <v>1073</v>
      </c>
      <c r="J9" s="622" t="s">
        <v>1074</v>
      </c>
      <c r="K9" s="623" t="s">
        <v>1075</v>
      </c>
      <c r="L9" s="833"/>
      <c r="M9" s="809"/>
      <c r="N9" s="823"/>
      <c r="O9" s="826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</row>
    <row r="10" spans="1:29">
      <c r="A10" s="74">
        <v>1</v>
      </c>
      <c r="B10" s="75" t="s">
        <v>55</v>
      </c>
      <c r="C10" s="421"/>
      <c r="D10" s="421"/>
      <c r="E10" s="595">
        <f t="shared" ref="E10:E30" si="0">SUM(C10:D10)</f>
        <v>0</v>
      </c>
      <c r="F10" s="422"/>
      <c r="G10" s="593">
        <v>0</v>
      </c>
      <c r="H10" s="423">
        <v>2646770</v>
      </c>
      <c r="I10" s="421"/>
      <c r="J10" s="421"/>
      <c r="K10" s="421"/>
      <c r="L10" s="596">
        <f t="shared" ref="L10:L30" si="1">SUM(F10:K10)</f>
        <v>2646770</v>
      </c>
      <c r="M10" s="591">
        <f t="shared" ref="M10:M30" si="2">SUM(L10,E10)</f>
        <v>2646770</v>
      </c>
      <c r="N10" s="593">
        <v>2646770</v>
      </c>
      <c r="O10" s="69">
        <f t="shared" ref="O10:O30" si="3">N10-M10</f>
        <v>0</v>
      </c>
    </row>
    <row r="11" spans="1:29">
      <c r="A11" s="73">
        <v>2</v>
      </c>
      <c r="B11" s="68" t="s">
        <v>56</v>
      </c>
      <c r="C11" s="591">
        <v>8512400</v>
      </c>
      <c r="D11" s="591"/>
      <c r="E11" s="595">
        <f t="shared" si="0"/>
        <v>8512400</v>
      </c>
      <c r="F11" s="593"/>
      <c r="G11" s="593">
        <v>175000</v>
      </c>
      <c r="H11" s="593">
        <v>4915430</v>
      </c>
      <c r="I11" s="591">
        <v>4483800</v>
      </c>
      <c r="J11" s="591"/>
      <c r="K11" s="593"/>
      <c r="L11" s="596">
        <f t="shared" si="1"/>
        <v>9574230</v>
      </c>
      <c r="M11" s="591">
        <f t="shared" si="2"/>
        <v>18086630</v>
      </c>
      <c r="N11" s="592">
        <f>8512400+200000+4915430+4483800</f>
        <v>18111630</v>
      </c>
      <c r="O11" s="69">
        <f t="shared" si="3"/>
        <v>25000</v>
      </c>
    </row>
    <row r="12" spans="1:29">
      <c r="A12" s="73">
        <v>3</v>
      </c>
      <c r="B12" s="68" t="s">
        <v>57</v>
      </c>
      <c r="C12" s="71"/>
      <c r="D12" s="71"/>
      <c r="E12" s="595">
        <f t="shared" si="0"/>
        <v>0</v>
      </c>
      <c r="F12" s="592"/>
      <c r="G12" s="592">
        <v>150000</v>
      </c>
      <c r="H12" s="592">
        <v>2268660</v>
      </c>
      <c r="I12" s="71"/>
      <c r="J12" s="71"/>
      <c r="K12" s="592"/>
      <c r="L12" s="596">
        <f t="shared" si="1"/>
        <v>2418660</v>
      </c>
      <c r="M12" s="591">
        <f t="shared" si="2"/>
        <v>2418660</v>
      </c>
      <c r="N12" s="592">
        <f>175000+2268660</f>
        <v>2443660</v>
      </c>
      <c r="O12" s="69">
        <f t="shared" si="3"/>
        <v>25000</v>
      </c>
    </row>
    <row r="13" spans="1:29">
      <c r="A13" s="73">
        <v>4</v>
      </c>
      <c r="B13" s="68" t="s">
        <v>58</v>
      </c>
      <c r="C13" s="71">
        <v>4256200</v>
      </c>
      <c r="D13" s="71"/>
      <c r="E13" s="595">
        <f t="shared" si="0"/>
        <v>4256200</v>
      </c>
      <c r="F13" s="592"/>
      <c r="G13" s="592">
        <v>0</v>
      </c>
      <c r="H13" s="592">
        <v>0</v>
      </c>
      <c r="I13" s="71"/>
      <c r="J13" s="71"/>
      <c r="K13" s="592"/>
      <c r="L13" s="596">
        <f t="shared" si="1"/>
        <v>0</v>
      </c>
      <c r="M13" s="591">
        <f t="shared" si="2"/>
        <v>4256200</v>
      </c>
      <c r="N13" s="592">
        <v>4256200</v>
      </c>
      <c r="O13" s="69">
        <f t="shared" si="3"/>
        <v>0</v>
      </c>
    </row>
    <row r="14" spans="1:29">
      <c r="A14" s="73">
        <v>5</v>
      </c>
      <c r="B14" s="68" t="s">
        <v>59</v>
      </c>
      <c r="C14" s="71"/>
      <c r="D14" s="71"/>
      <c r="E14" s="595">
        <f t="shared" si="0"/>
        <v>0</v>
      </c>
      <c r="F14" s="592"/>
      <c r="G14" s="592">
        <v>125000</v>
      </c>
      <c r="H14" s="592">
        <v>2646770</v>
      </c>
      <c r="I14" s="71"/>
      <c r="J14" s="71"/>
      <c r="K14" s="592"/>
      <c r="L14" s="596">
        <f t="shared" si="1"/>
        <v>2771770</v>
      </c>
      <c r="M14" s="591">
        <f t="shared" si="2"/>
        <v>2771770</v>
      </c>
      <c r="N14" s="592">
        <f>125000+2646770</f>
        <v>2771770</v>
      </c>
      <c r="O14" s="69">
        <f t="shared" si="3"/>
        <v>0</v>
      </c>
    </row>
    <row r="15" spans="1:29">
      <c r="A15" s="73">
        <v>6</v>
      </c>
      <c r="B15" s="68" t="s">
        <v>60</v>
      </c>
      <c r="C15" s="591">
        <v>13619840</v>
      </c>
      <c r="D15" s="591">
        <v>22588475</v>
      </c>
      <c r="E15" s="595">
        <f t="shared" si="0"/>
        <v>36208315</v>
      </c>
      <c r="F15" s="593">
        <v>4932610</v>
      </c>
      <c r="G15" s="593">
        <v>0</v>
      </c>
      <c r="H15" s="593">
        <v>35542340</v>
      </c>
      <c r="I15" s="593">
        <v>2241900</v>
      </c>
      <c r="J15" s="593">
        <v>7465460</v>
      </c>
      <c r="K15" s="593">
        <v>12983880</v>
      </c>
      <c r="L15" s="596">
        <f>SUM(F15:K15)</f>
        <v>63166190</v>
      </c>
      <c r="M15" s="591">
        <f t="shared" si="2"/>
        <v>99374505</v>
      </c>
      <c r="N15" s="592">
        <f>36208315+5067750+35920450+2241900+6718914+12983880</f>
        <v>99141209</v>
      </c>
      <c r="O15" s="69">
        <f t="shared" si="3"/>
        <v>-233296</v>
      </c>
    </row>
    <row r="16" spans="1:29">
      <c r="A16" s="73">
        <v>7</v>
      </c>
      <c r="B16" s="68" t="s">
        <v>61</v>
      </c>
      <c r="C16" s="71"/>
      <c r="D16" s="71"/>
      <c r="E16" s="595">
        <f t="shared" si="0"/>
        <v>0</v>
      </c>
      <c r="F16" s="592"/>
      <c r="G16" s="592">
        <v>125000</v>
      </c>
      <c r="H16" s="592">
        <v>1890550</v>
      </c>
      <c r="I16" s="71"/>
      <c r="J16" s="71"/>
      <c r="K16" s="592"/>
      <c r="L16" s="596">
        <f t="shared" si="1"/>
        <v>2015550</v>
      </c>
      <c r="M16" s="591">
        <f t="shared" si="2"/>
        <v>2015550</v>
      </c>
      <c r="N16" s="592">
        <f>150000+1890550</f>
        <v>2040550</v>
      </c>
      <c r="O16" s="69">
        <f t="shared" si="3"/>
        <v>25000</v>
      </c>
    </row>
    <row r="17" spans="1:29">
      <c r="A17" s="73">
        <v>8</v>
      </c>
      <c r="B17" s="68" t="s">
        <v>192</v>
      </c>
      <c r="C17" s="71"/>
      <c r="D17" s="71"/>
      <c r="E17" s="595">
        <f t="shared" si="0"/>
        <v>0</v>
      </c>
      <c r="F17" s="592"/>
      <c r="G17" s="592">
        <v>0</v>
      </c>
      <c r="H17" s="592">
        <v>4537320</v>
      </c>
      <c r="I17" s="71"/>
      <c r="J17" s="71"/>
      <c r="K17" s="592"/>
      <c r="L17" s="596">
        <f t="shared" si="1"/>
        <v>4537320</v>
      </c>
      <c r="M17" s="591">
        <f t="shared" si="2"/>
        <v>4537320</v>
      </c>
      <c r="N17" s="592">
        <v>4537320</v>
      </c>
      <c r="O17" s="69">
        <f t="shared" si="3"/>
        <v>0</v>
      </c>
    </row>
    <row r="18" spans="1:29">
      <c r="A18" s="73">
        <v>9</v>
      </c>
      <c r="B18" s="68" t="s">
        <v>62</v>
      </c>
      <c r="C18" s="71"/>
      <c r="D18" s="71"/>
      <c r="E18" s="595">
        <f t="shared" si="0"/>
        <v>0</v>
      </c>
      <c r="F18" s="592"/>
      <c r="G18" s="592">
        <v>0</v>
      </c>
      <c r="H18" s="592">
        <v>4159210</v>
      </c>
      <c r="I18" s="71"/>
      <c r="J18" s="71"/>
      <c r="K18" s="592"/>
      <c r="L18" s="596">
        <f>SUM(F18:K18)</f>
        <v>4159210</v>
      </c>
      <c r="M18" s="591">
        <f t="shared" si="2"/>
        <v>4159210</v>
      </c>
      <c r="N18" s="592">
        <v>4159210</v>
      </c>
      <c r="O18" s="69">
        <f t="shared" si="3"/>
        <v>0</v>
      </c>
    </row>
    <row r="19" spans="1:29">
      <c r="A19" s="73">
        <v>10</v>
      </c>
      <c r="B19" s="68" t="s">
        <v>63</v>
      </c>
      <c r="C19" s="71">
        <v>6384300</v>
      </c>
      <c r="D19" s="71"/>
      <c r="E19" s="595">
        <f t="shared" si="0"/>
        <v>6384300</v>
      </c>
      <c r="F19" s="592"/>
      <c r="G19" s="592">
        <v>0</v>
      </c>
      <c r="H19" s="592">
        <v>4537320</v>
      </c>
      <c r="I19" s="71"/>
      <c r="J19" s="71"/>
      <c r="K19" s="592"/>
      <c r="L19" s="596">
        <f t="shared" si="1"/>
        <v>4537320</v>
      </c>
      <c r="M19" s="591">
        <f t="shared" si="2"/>
        <v>10921620</v>
      </c>
      <c r="N19" s="592">
        <f>6384300+4537320</f>
        <v>10921620</v>
      </c>
      <c r="O19" s="69">
        <f t="shared" si="3"/>
        <v>0</v>
      </c>
    </row>
    <row r="20" spans="1:29">
      <c r="A20" s="73">
        <v>11</v>
      </c>
      <c r="B20" s="68" t="s">
        <v>64</v>
      </c>
      <c r="C20" s="71"/>
      <c r="D20" s="71"/>
      <c r="E20" s="595">
        <f t="shared" si="0"/>
        <v>0</v>
      </c>
      <c r="F20" s="592"/>
      <c r="G20" s="592">
        <v>275000</v>
      </c>
      <c r="H20" s="592">
        <v>5671650</v>
      </c>
      <c r="I20" s="71"/>
      <c r="J20" s="71"/>
      <c r="K20" s="592"/>
      <c r="L20" s="596">
        <f t="shared" si="1"/>
        <v>5946650</v>
      </c>
      <c r="M20" s="591">
        <f t="shared" si="2"/>
        <v>5946650</v>
      </c>
      <c r="N20" s="592">
        <f>275000+5671650</f>
        <v>5946650</v>
      </c>
      <c r="O20" s="69">
        <f t="shared" si="3"/>
        <v>0</v>
      </c>
    </row>
    <row r="21" spans="1:29">
      <c r="A21" s="73">
        <v>12</v>
      </c>
      <c r="B21" s="68" t="s">
        <v>65</v>
      </c>
      <c r="C21" s="71"/>
      <c r="D21" s="71"/>
      <c r="E21" s="595">
        <f t="shared" si="0"/>
        <v>0</v>
      </c>
      <c r="F21" s="592"/>
      <c r="G21" s="592">
        <v>0</v>
      </c>
      <c r="H21" s="592">
        <v>4915430</v>
      </c>
      <c r="I21" s="71"/>
      <c r="J21" s="71"/>
      <c r="K21" s="592"/>
      <c r="L21" s="596">
        <f t="shared" si="1"/>
        <v>4915430</v>
      </c>
      <c r="M21" s="591">
        <f t="shared" si="2"/>
        <v>4915430</v>
      </c>
      <c r="N21" s="592">
        <v>4915430</v>
      </c>
      <c r="O21" s="69">
        <f t="shared" si="3"/>
        <v>0</v>
      </c>
    </row>
    <row r="22" spans="1:29">
      <c r="A22" s="73">
        <v>13</v>
      </c>
      <c r="B22" s="68" t="s">
        <v>66</v>
      </c>
      <c r="C22" s="71"/>
      <c r="D22" s="71"/>
      <c r="E22" s="595">
        <f t="shared" si="0"/>
        <v>0</v>
      </c>
      <c r="F22" s="592"/>
      <c r="G22" s="592">
        <v>0</v>
      </c>
      <c r="H22" s="592">
        <v>0</v>
      </c>
      <c r="I22" s="71"/>
      <c r="J22" s="71"/>
      <c r="K22" s="592"/>
      <c r="L22" s="596">
        <f t="shared" si="1"/>
        <v>0</v>
      </c>
      <c r="M22" s="591">
        <f t="shared" si="2"/>
        <v>0</v>
      </c>
      <c r="N22" s="592">
        <v>0</v>
      </c>
      <c r="O22" s="69">
        <f t="shared" si="3"/>
        <v>0</v>
      </c>
    </row>
    <row r="23" spans="1:29">
      <c r="A23" s="73">
        <v>14</v>
      </c>
      <c r="B23" s="68" t="s">
        <v>67</v>
      </c>
      <c r="C23" s="71"/>
      <c r="D23" s="71"/>
      <c r="E23" s="595">
        <f t="shared" si="0"/>
        <v>0</v>
      </c>
      <c r="F23" s="592"/>
      <c r="G23" s="592">
        <v>225000</v>
      </c>
      <c r="H23" s="592">
        <v>2268660</v>
      </c>
      <c r="I23" s="71"/>
      <c r="J23" s="71"/>
      <c r="K23" s="592"/>
      <c r="L23" s="596">
        <f t="shared" si="1"/>
        <v>2493660</v>
      </c>
      <c r="M23" s="591">
        <f t="shared" si="2"/>
        <v>2493660</v>
      </c>
      <c r="N23" s="592">
        <f>225000+2268660</f>
        <v>2493660</v>
      </c>
      <c r="O23" s="69">
        <f t="shared" si="3"/>
        <v>0</v>
      </c>
    </row>
    <row r="24" spans="1:29">
      <c r="A24" s="73">
        <v>15</v>
      </c>
      <c r="B24" s="68" t="s">
        <v>68</v>
      </c>
      <c r="C24" s="71"/>
      <c r="D24" s="71"/>
      <c r="E24" s="595">
        <f t="shared" si="0"/>
        <v>0</v>
      </c>
      <c r="F24" s="592"/>
      <c r="G24" s="592">
        <v>150000</v>
      </c>
      <c r="H24" s="592">
        <v>4537320</v>
      </c>
      <c r="I24" s="71"/>
      <c r="J24" s="71"/>
      <c r="K24" s="592"/>
      <c r="L24" s="596">
        <f t="shared" si="1"/>
        <v>4687320</v>
      </c>
      <c r="M24" s="591">
        <f t="shared" si="2"/>
        <v>4687320</v>
      </c>
      <c r="N24" s="592">
        <f>175000+4537320</f>
        <v>4712320</v>
      </c>
      <c r="O24" s="69">
        <f t="shared" si="3"/>
        <v>25000</v>
      </c>
    </row>
    <row r="25" spans="1:29">
      <c r="A25" s="73">
        <v>16</v>
      </c>
      <c r="B25" s="68" t="s">
        <v>69</v>
      </c>
      <c r="C25" s="71"/>
      <c r="D25" s="71"/>
      <c r="E25" s="595">
        <f t="shared" si="0"/>
        <v>0</v>
      </c>
      <c r="F25" s="592"/>
      <c r="G25" s="592">
        <v>0</v>
      </c>
      <c r="H25" s="592">
        <v>0</v>
      </c>
      <c r="I25" s="71"/>
      <c r="J25" s="71"/>
      <c r="K25" s="592"/>
      <c r="L25" s="596">
        <f t="shared" si="1"/>
        <v>0</v>
      </c>
      <c r="M25" s="591">
        <f t="shared" si="2"/>
        <v>0</v>
      </c>
      <c r="N25" s="592">
        <v>0</v>
      </c>
      <c r="O25" s="69">
        <f t="shared" si="3"/>
        <v>0</v>
      </c>
    </row>
    <row r="26" spans="1:29">
      <c r="A26" s="73">
        <v>17</v>
      </c>
      <c r="B26" s="68" t="s">
        <v>70</v>
      </c>
      <c r="C26" s="71">
        <v>4256200</v>
      </c>
      <c r="D26" s="71"/>
      <c r="E26" s="595">
        <f t="shared" si="0"/>
        <v>4256200</v>
      </c>
      <c r="F26" s="592"/>
      <c r="G26" s="592">
        <v>0</v>
      </c>
      <c r="H26" s="592">
        <v>8696530</v>
      </c>
      <c r="I26" s="71"/>
      <c r="J26" s="71"/>
      <c r="K26" s="592"/>
      <c r="L26" s="596">
        <f t="shared" si="1"/>
        <v>8696530</v>
      </c>
      <c r="M26" s="591">
        <f t="shared" si="2"/>
        <v>12952730</v>
      </c>
      <c r="N26" s="592">
        <f>4256200+8696530</f>
        <v>12952730</v>
      </c>
      <c r="O26" s="69">
        <f t="shared" si="3"/>
        <v>0</v>
      </c>
    </row>
    <row r="27" spans="1:29">
      <c r="A27" s="73">
        <v>18</v>
      </c>
      <c r="B27" s="68" t="s">
        <v>71</v>
      </c>
      <c r="C27" s="71"/>
      <c r="D27" s="71"/>
      <c r="E27" s="595">
        <f t="shared" si="0"/>
        <v>0</v>
      </c>
      <c r="F27" s="592"/>
      <c r="G27" s="592">
        <v>0</v>
      </c>
      <c r="H27" s="592">
        <v>0</v>
      </c>
      <c r="I27" s="592"/>
      <c r="J27" s="592"/>
      <c r="K27" s="592"/>
      <c r="L27" s="596">
        <f t="shared" si="1"/>
        <v>0</v>
      </c>
      <c r="M27" s="591">
        <f t="shared" si="2"/>
        <v>0</v>
      </c>
      <c r="N27" s="592">
        <v>0</v>
      </c>
      <c r="O27" s="69">
        <f t="shared" si="3"/>
        <v>0</v>
      </c>
    </row>
    <row r="28" spans="1:29">
      <c r="A28" s="73">
        <v>19</v>
      </c>
      <c r="B28" s="68" t="s">
        <v>72</v>
      </c>
      <c r="C28" s="71"/>
      <c r="D28" s="71"/>
      <c r="E28" s="595">
        <f t="shared" si="0"/>
        <v>0</v>
      </c>
      <c r="F28" s="592"/>
      <c r="G28" s="592">
        <v>0</v>
      </c>
      <c r="H28" s="592">
        <v>1890550</v>
      </c>
      <c r="I28" s="592"/>
      <c r="J28" s="592"/>
      <c r="K28" s="592"/>
      <c r="L28" s="596">
        <f t="shared" si="1"/>
        <v>1890550</v>
      </c>
      <c r="M28" s="591">
        <f t="shared" si="2"/>
        <v>1890550</v>
      </c>
      <c r="N28" s="592">
        <v>1890550</v>
      </c>
      <c r="O28" s="69">
        <f t="shared" si="3"/>
        <v>0</v>
      </c>
    </row>
    <row r="29" spans="1:29" s="56" customFormat="1">
      <c r="A29" s="73" t="s">
        <v>228</v>
      </c>
      <c r="B29" s="68" t="s">
        <v>249</v>
      </c>
      <c r="C29" s="71"/>
      <c r="D29" s="71"/>
      <c r="E29" s="595">
        <f t="shared" si="0"/>
        <v>0</v>
      </c>
      <c r="F29" s="592"/>
      <c r="G29" s="592">
        <v>175000</v>
      </c>
      <c r="H29" s="592">
        <v>4915430</v>
      </c>
      <c r="I29" s="592"/>
      <c r="J29" s="592"/>
      <c r="K29" s="592"/>
      <c r="L29" s="596">
        <f t="shared" si="1"/>
        <v>5090430</v>
      </c>
      <c r="M29" s="591">
        <f t="shared" si="2"/>
        <v>5090430</v>
      </c>
      <c r="N29" s="592">
        <f>200000+4915430</f>
        <v>5115430</v>
      </c>
      <c r="O29" s="69">
        <f t="shared" si="3"/>
        <v>25000</v>
      </c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</row>
    <row r="30" spans="1:29">
      <c r="A30" s="73" t="s">
        <v>229</v>
      </c>
      <c r="B30" s="68" t="s">
        <v>251</v>
      </c>
      <c r="C30" s="71"/>
      <c r="D30" s="71"/>
      <c r="E30" s="595">
        <f t="shared" si="0"/>
        <v>0</v>
      </c>
      <c r="F30" s="592"/>
      <c r="G30" s="592">
        <v>0</v>
      </c>
      <c r="H30" s="592">
        <v>0</v>
      </c>
      <c r="I30" s="592"/>
      <c r="J30" s="592"/>
      <c r="K30" s="592"/>
      <c r="L30" s="596">
        <f t="shared" si="1"/>
        <v>0</v>
      </c>
      <c r="M30" s="591">
        <f t="shared" si="2"/>
        <v>0</v>
      </c>
      <c r="N30" s="592">
        <v>0</v>
      </c>
      <c r="O30" s="69">
        <f t="shared" si="3"/>
        <v>0</v>
      </c>
      <c r="P30" s="77"/>
    </row>
    <row r="31" spans="1:29" s="23" customFormat="1" ht="15.75">
      <c r="A31" s="624"/>
      <c r="B31" s="614" t="s">
        <v>54</v>
      </c>
      <c r="C31" s="615">
        <f>SUM(C11:C30)</f>
        <v>37028940</v>
      </c>
      <c r="D31" s="615">
        <f>SUM(D11:D30)</f>
        <v>22588475</v>
      </c>
      <c r="E31" s="615">
        <f>SUM(E11:E30)</f>
        <v>59617415</v>
      </c>
      <c r="F31" s="615">
        <f>SUM(F11:F28)</f>
        <v>4932610</v>
      </c>
      <c r="G31" s="615">
        <f>SUM(G10:G30)</f>
        <v>1400000</v>
      </c>
      <c r="H31" s="615">
        <f>SUM(H10:H30)</f>
        <v>96039940</v>
      </c>
      <c r="I31" s="615">
        <f>SUM(I11:I28)</f>
        <v>6725700</v>
      </c>
      <c r="J31" s="615">
        <f>SUM(J11:J28)</f>
        <v>7465460</v>
      </c>
      <c r="K31" s="615">
        <f>SUM(K11:K28)</f>
        <v>12983880</v>
      </c>
      <c r="L31" s="615">
        <f>SUM(L10:L30)</f>
        <v>129547590</v>
      </c>
      <c r="M31" s="615">
        <f>SUM(M10:M30)</f>
        <v>189165005</v>
      </c>
      <c r="N31" s="615">
        <f>SUM(N10:N30)</f>
        <v>189056709</v>
      </c>
      <c r="O31" s="615">
        <f>SUM(O10:O30)</f>
        <v>-108296</v>
      </c>
    </row>
    <row r="32" spans="1:29" s="23" customFormat="1">
      <c r="A32" s="830"/>
      <c r="B32" s="830"/>
      <c r="C32" s="830"/>
      <c r="D32" s="830"/>
      <c r="E32" s="830"/>
      <c r="F32" s="830"/>
      <c r="G32" s="830"/>
      <c r="H32" s="830"/>
      <c r="I32" s="830"/>
      <c r="J32" s="830"/>
      <c r="K32" s="830"/>
      <c r="L32" s="830"/>
      <c r="M32" s="830"/>
      <c r="N32" s="830"/>
      <c r="O32" s="830"/>
    </row>
    <row r="33" spans="15:15" s="23" customFormat="1">
      <c r="O33" s="60"/>
    </row>
    <row r="34" spans="15:15" s="23" customFormat="1">
      <c r="O34" s="60"/>
    </row>
    <row r="35" spans="15:15" s="23" customFormat="1">
      <c r="O35" s="60"/>
    </row>
    <row r="36" spans="15:15" s="23" customFormat="1">
      <c r="O36" s="60"/>
    </row>
    <row r="37" spans="15:15" s="23" customFormat="1">
      <c r="O37" s="60"/>
    </row>
    <row r="38" spans="15:15" s="23" customFormat="1">
      <c r="O38" s="60"/>
    </row>
    <row r="39" spans="15:15" s="23" customFormat="1">
      <c r="O39" s="60"/>
    </row>
    <row r="40" spans="15:15" s="23" customFormat="1">
      <c r="O40" s="60"/>
    </row>
    <row r="41" spans="15:15" s="23" customFormat="1">
      <c r="O41" s="60"/>
    </row>
    <row r="42" spans="15:15" s="23" customFormat="1">
      <c r="O42" s="60"/>
    </row>
    <row r="43" spans="15:15" s="23" customFormat="1">
      <c r="O43" s="60"/>
    </row>
    <row r="44" spans="15:15" s="23" customFormat="1">
      <c r="O44" s="60"/>
    </row>
    <row r="45" spans="15:15" s="23" customFormat="1">
      <c r="O45" s="60"/>
    </row>
    <row r="46" spans="15:15" s="23" customFormat="1">
      <c r="O46" s="60"/>
    </row>
    <row r="47" spans="15:15" s="23" customFormat="1">
      <c r="O47" s="60"/>
    </row>
    <row r="48" spans="15:15" s="23" customFormat="1">
      <c r="O48" s="60"/>
    </row>
    <row r="49" spans="15:15" s="23" customFormat="1">
      <c r="O49" s="60"/>
    </row>
    <row r="50" spans="15:15" s="23" customFormat="1">
      <c r="O50" s="60"/>
    </row>
    <row r="51" spans="15:15" s="23" customFormat="1">
      <c r="O51" s="60"/>
    </row>
  </sheetData>
  <mergeCells count="16">
    <mergeCell ref="A32:O32"/>
    <mergeCell ref="M6:M9"/>
    <mergeCell ref="E7:E9"/>
    <mergeCell ref="L7:L9"/>
    <mergeCell ref="C8:C9"/>
    <mergeCell ref="D8:D9"/>
    <mergeCell ref="A1:O1"/>
    <mergeCell ref="A2:O2"/>
    <mergeCell ref="N4:O4"/>
    <mergeCell ref="A5:A9"/>
    <mergeCell ref="B5:B9"/>
    <mergeCell ref="C5:M5"/>
    <mergeCell ref="N5:N9"/>
    <mergeCell ref="O5:O9"/>
    <mergeCell ref="C6:E6"/>
    <mergeCell ref="F6:L6"/>
  </mergeCells>
  <pageMargins left="0.27559055118110237" right="0.19685039370078741" top="0.98425196850393704" bottom="0.98425196850393704" header="0.51181102362204722" footer="0.51181102362204722"/>
  <pageSetup paperSize="9" scale="70" orientation="landscape" r:id="rId1"/>
  <headerFooter alignWithMargins="0">
    <oddHeader>&amp;R4/b sz.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6B2F-5B70-492D-B3FA-6148DCDB00BC}">
  <sheetPr>
    <tabColor theme="4" tint="0.59999389629810485"/>
  </sheetPr>
  <dimension ref="A1:V40"/>
  <sheetViews>
    <sheetView topLeftCell="A4" zoomScaleNormal="100" workbookViewId="0">
      <selection activeCell="C7" sqref="C7:H7"/>
    </sheetView>
  </sheetViews>
  <sheetFormatPr defaultColWidth="9.140625" defaultRowHeight="12.75"/>
  <cols>
    <col min="1" max="1" width="6.85546875" style="601" customWidth="1"/>
    <col min="2" max="2" width="18" style="601" bestFit="1" customWidth="1"/>
    <col min="3" max="3" width="16.140625" style="539" customWidth="1"/>
    <col min="4" max="7" width="18.7109375" style="539" customWidth="1"/>
    <col min="8" max="8" width="12.28515625" style="601" customWidth="1"/>
    <col min="9" max="9" width="10.5703125" style="538" customWidth="1"/>
    <col min="10" max="10" width="11" style="538" customWidth="1"/>
    <col min="11" max="22" width="9.140625" style="536"/>
    <col min="23" max="16384" width="9.140625" style="537"/>
  </cols>
  <sheetData>
    <row r="1" spans="1:22">
      <c r="A1" s="837" t="s">
        <v>1041</v>
      </c>
      <c r="B1" s="837"/>
      <c r="C1" s="837"/>
      <c r="D1" s="837"/>
      <c r="E1" s="837"/>
      <c r="F1" s="837"/>
      <c r="G1" s="837"/>
      <c r="H1" s="837"/>
      <c r="I1" s="837"/>
      <c r="J1" s="837"/>
    </row>
    <row r="2" spans="1:22" ht="12.75" customHeight="1">
      <c r="A2" s="827" t="s">
        <v>1045</v>
      </c>
      <c r="B2" s="827"/>
      <c r="C2" s="827"/>
      <c r="D2" s="827"/>
      <c r="E2" s="827"/>
      <c r="F2" s="827"/>
      <c r="G2" s="827"/>
      <c r="H2" s="827"/>
      <c r="I2" s="827"/>
      <c r="J2" s="827"/>
      <c r="K2" s="87"/>
      <c r="L2" s="87"/>
      <c r="M2" s="87"/>
      <c r="N2" s="87"/>
      <c r="O2" s="87"/>
      <c r="P2" s="87"/>
    </row>
    <row r="3" spans="1:22" ht="12.75" customHeight="1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87"/>
      <c r="L3" s="87"/>
      <c r="M3" s="87"/>
      <c r="N3" s="87"/>
      <c r="O3" s="87"/>
      <c r="P3" s="87"/>
    </row>
    <row r="4" spans="1:22" ht="12.75" customHeight="1">
      <c r="A4" s="177"/>
      <c r="B4" s="177"/>
      <c r="C4" s="177"/>
      <c r="D4" s="177"/>
      <c r="E4" s="177"/>
      <c r="F4" s="177"/>
      <c r="G4" s="177"/>
      <c r="H4" s="177"/>
      <c r="I4" s="177"/>
      <c r="J4" s="177"/>
      <c r="K4" s="87"/>
      <c r="L4" s="87"/>
      <c r="M4" s="87"/>
      <c r="N4" s="87"/>
      <c r="O4" s="87"/>
      <c r="P4" s="87"/>
    </row>
    <row r="5" spans="1:22" ht="15">
      <c r="A5" s="838"/>
      <c r="B5" s="838"/>
      <c r="C5" s="838"/>
      <c r="D5" s="838"/>
      <c r="E5" s="838"/>
      <c r="F5" s="838"/>
      <c r="G5" s="838"/>
      <c r="H5" s="838"/>
      <c r="I5" s="57"/>
      <c r="J5" s="58"/>
    </row>
    <row r="6" spans="1:22">
      <c r="A6" s="58"/>
      <c r="B6" s="58"/>
      <c r="C6" s="597"/>
      <c r="D6" s="597"/>
      <c r="E6" s="597"/>
      <c r="F6" s="597"/>
      <c r="G6" s="597"/>
      <c r="H6" s="598"/>
      <c r="I6" s="839" t="s">
        <v>198</v>
      </c>
      <c r="J6" s="839"/>
    </row>
    <row r="7" spans="1:22" s="541" customFormat="1" ht="19.5" customHeight="1">
      <c r="A7" s="731" t="s">
        <v>139</v>
      </c>
      <c r="B7" s="731" t="s">
        <v>134</v>
      </c>
      <c r="C7" s="840" t="s">
        <v>1047</v>
      </c>
      <c r="D7" s="840"/>
      <c r="E7" s="840"/>
      <c r="F7" s="840"/>
      <c r="G7" s="840"/>
      <c r="H7" s="840"/>
      <c r="I7" s="802" t="s">
        <v>200</v>
      </c>
      <c r="J7" s="802" t="s">
        <v>124</v>
      </c>
      <c r="K7" s="540"/>
      <c r="L7" s="540"/>
      <c r="M7" s="540"/>
      <c r="N7" s="540"/>
      <c r="O7" s="540"/>
      <c r="P7" s="540"/>
      <c r="Q7" s="540"/>
      <c r="R7" s="540"/>
      <c r="S7" s="540"/>
      <c r="T7" s="540"/>
      <c r="U7" s="540"/>
      <c r="V7" s="540"/>
    </row>
    <row r="8" spans="1:22" s="541" customFormat="1" ht="46.5" customHeight="1">
      <c r="A8" s="731"/>
      <c r="B8" s="731"/>
      <c r="C8" s="841" t="s">
        <v>257</v>
      </c>
      <c r="D8" s="842" t="s">
        <v>258</v>
      </c>
      <c r="E8" s="807" t="s">
        <v>915</v>
      </c>
      <c r="F8" s="807" t="s">
        <v>916</v>
      </c>
      <c r="G8" s="807" t="s">
        <v>919</v>
      </c>
      <c r="H8" s="842" t="s">
        <v>54</v>
      </c>
      <c r="I8" s="802"/>
      <c r="J8" s="802"/>
      <c r="K8" s="540"/>
      <c r="L8" s="540"/>
      <c r="M8" s="540"/>
      <c r="N8" s="540"/>
      <c r="O8" s="540"/>
      <c r="P8" s="540"/>
      <c r="Q8" s="540"/>
      <c r="R8" s="540"/>
      <c r="S8" s="540"/>
      <c r="T8" s="540"/>
      <c r="U8" s="540"/>
      <c r="V8" s="540"/>
    </row>
    <row r="9" spans="1:22" s="541" customFormat="1" ht="68.25" customHeight="1">
      <c r="A9" s="731"/>
      <c r="B9" s="731"/>
      <c r="C9" s="841"/>
      <c r="D9" s="842"/>
      <c r="E9" s="809"/>
      <c r="F9" s="809"/>
      <c r="G9" s="809"/>
      <c r="H9" s="842"/>
      <c r="I9" s="802"/>
      <c r="J9" s="802"/>
      <c r="K9" s="540"/>
      <c r="L9" s="540"/>
      <c r="M9" s="540"/>
      <c r="N9" s="540"/>
      <c r="O9" s="540"/>
      <c r="P9" s="540"/>
      <c r="Q9" s="540"/>
      <c r="R9" s="540"/>
      <c r="S9" s="540"/>
      <c r="T9" s="540"/>
      <c r="U9" s="540"/>
      <c r="V9" s="540"/>
    </row>
    <row r="10" spans="1:22" s="541" customFormat="1">
      <c r="A10" s="731"/>
      <c r="B10" s="731"/>
      <c r="C10" s="625" t="s">
        <v>1065</v>
      </c>
      <c r="D10" s="625" t="s">
        <v>1066</v>
      </c>
      <c r="E10" s="625" t="s">
        <v>1058</v>
      </c>
      <c r="F10" s="625" t="s">
        <v>1059</v>
      </c>
      <c r="G10" s="625" t="s">
        <v>1060</v>
      </c>
      <c r="H10" s="842"/>
      <c r="I10" s="802"/>
      <c r="J10" s="802"/>
      <c r="K10" s="540"/>
      <c r="L10" s="540"/>
      <c r="M10" s="540"/>
      <c r="N10" s="540"/>
      <c r="O10" s="540"/>
      <c r="P10" s="540"/>
      <c r="Q10" s="540"/>
      <c r="R10" s="540"/>
      <c r="S10" s="540"/>
      <c r="T10" s="540"/>
      <c r="U10" s="540"/>
      <c r="V10" s="540"/>
    </row>
    <row r="11" spans="1:22" s="541" customFormat="1">
      <c r="A11" s="731"/>
      <c r="B11" s="731"/>
      <c r="C11" s="625" t="s">
        <v>259</v>
      </c>
      <c r="D11" s="625"/>
      <c r="E11" s="625" t="s">
        <v>1076</v>
      </c>
      <c r="F11" s="625" t="s">
        <v>1077</v>
      </c>
      <c r="G11" s="625"/>
      <c r="H11" s="842"/>
      <c r="I11" s="802"/>
      <c r="J11" s="802"/>
      <c r="K11" s="540"/>
      <c r="L11" s="540"/>
      <c r="M11" s="540"/>
      <c r="N11" s="540"/>
      <c r="O11" s="540"/>
      <c r="P11" s="540"/>
      <c r="Q11" s="540"/>
      <c r="R11" s="540"/>
      <c r="S11" s="540"/>
      <c r="T11" s="540"/>
      <c r="U11" s="540"/>
      <c r="V11" s="540"/>
    </row>
    <row r="12" spans="1:22" ht="21" customHeight="1">
      <c r="A12" s="585">
        <v>1</v>
      </c>
      <c r="B12" s="86" t="s">
        <v>26</v>
      </c>
      <c r="C12" s="71">
        <v>3772218</v>
      </c>
      <c r="D12" s="71">
        <v>7530881</v>
      </c>
      <c r="E12" s="71">
        <v>20400000</v>
      </c>
      <c r="F12" s="71">
        <v>34506000</v>
      </c>
      <c r="G12" s="71">
        <v>11952000</v>
      </c>
      <c r="H12" s="71">
        <f>SUM(C12:G12)</f>
        <v>78161099</v>
      </c>
      <c r="I12" s="592">
        <v>77812993</v>
      </c>
      <c r="J12" s="70">
        <f>I12-H12</f>
        <v>-348106</v>
      </c>
    </row>
    <row r="13" spans="1:22" ht="21" customHeight="1">
      <c r="A13" s="609"/>
      <c r="B13" s="626" t="s">
        <v>129</v>
      </c>
      <c r="C13" s="615">
        <f t="shared" ref="C13:J13" si="0">SUM(C12:C12)</f>
        <v>3772218</v>
      </c>
      <c r="D13" s="615">
        <f t="shared" si="0"/>
        <v>7530881</v>
      </c>
      <c r="E13" s="615">
        <f t="shared" si="0"/>
        <v>20400000</v>
      </c>
      <c r="F13" s="615">
        <f t="shared" si="0"/>
        <v>34506000</v>
      </c>
      <c r="G13" s="615">
        <f t="shared" si="0"/>
        <v>11952000</v>
      </c>
      <c r="H13" s="615">
        <f>SUM(H12:H12)</f>
        <v>78161099</v>
      </c>
      <c r="I13" s="615">
        <f t="shared" si="0"/>
        <v>77812993</v>
      </c>
      <c r="J13" s="615">
        <f t="shared" si="0"/>
        <v>-348106</v>
      </c>
    </row>
    <row r="14" spans="1:22" ht="19.5" customHeight="1">
      <c r="A14" s="836"/>
      <c r="B14" s="836"/>
      <c r="C14" s="836"/>
      <c r="D14" s="836"/>
      <c r="E14" s="836"/>
      <c r="F14" s="836"/>
      <c r="G14" s="836"/>
      <c r="H14" s="836"/>
      <c r="I14" s="836"/>
      <c r="J14" s="836"/>
    </row>
    <row r="15" spans="1:22" ht="21.75" customHeight="1">
      <c r="A15" s="584"/>
      <c r="B15" s="584"/>
      <c r="C15" s="584"/>
      <c r="D15" s="584"/>
      <c r="E15" s="584"/>
      <c r="F15" s="584"/>
      <c r="G15" s="584"/>
      <c r="H15" s="584"/>
      <c r="I15" s="599"/>
      <c r="J15" s="599"/>
    </row>
    <row r="16" spans="1:22" s="536" customFormat="1">
      <c r="A16" s="246"/>
      <c r="B16" s="246"/>
      <c r="C16" s="584"/>
      <c r="D16" s="584"/>
      <c r="E16" s="584"/>
      <c r="F16" s="584"/>
      <c r="G16" s="584"/>
      <c r="H16" s="246"/>
      <c r="I16" s="599"/>
      <c r="J16" s="599"/>
    </row>
    <row r="17" spans="1:8">
      <c r="A17" s="58"/>
      <c r="B17" s="58"/>
      <c r="C17" s="57"/>
      <c r="D17" s="57"/>
      <c r="E17" s="57"/>
      <c r="F17" s="57"/>
      <c r="G17" s="57"/>
      <c r="H17" s="58"/>
    </row>
    <row r="18" spans="1:8">
      <c r="A18" s="58"/>
      <c r="B18" s="58"/>
      <c r="C18" s="57"/>
      <c r="D18" s="57"/>
      <c r="E18" s="57"/>
      <c r="F18" s="57"/>
      <c r="G18" s="57"/>
      <c r="H18" s="58"/>
    </row>
    <row r="19" spans="1:8">
      <c r="A19" s="58"/>
      <c r="B19" s="58"/>
      <c r="C19" s="57"/>
      <c r="D19" s="57"/>
      <c r="E19" s="57"/>
      <c r="F19" s="57"/>
      <c r="G19" s="57"/>
      <c r="H19" s="58"/>
    </row>
    <row r="20" spans="1:8">
      <c r="A20" s="600"/>
      <c r="B20" s="600"/>
      <c r="C20" s="538"/>
      <c r="D20" s="538"/>
      <c r="E20" s="538"/>
      <c r="F20" s="538"/>
      <c r="G20" s="538"/>
      <c r="H20" s="600"/>
    </row>
    <row r="21" spans="1:8">
      <c r="A21" s="600"/>
      <c r="B21" s="600"/>
      <c r="C21" s="538"/>
      <c r="D21" s="538"/>
      <c r="E21" s="538"/>
      <c r="F21" s="538"/>
      <c r="G21" s="538"/>
      <c r="H21" s="600"/>
    </row>
    <row r="22" spans="1:8">
      <c r="A22" s="600"/>
      <c r="B22" s="600"/>
      <c r="C22" s="538"/>
      <c r="D22" s="538"/>
      <c r="E22" s="538"/>
      <c r="F22" s="538"/>
      <c r="G22" s="538"/>
      <c r="H22" s="600"/>
    </row>
    <row r="23" spans="1:8">
      <c r="A23" s="600"/>
      <c r="B23" s="600"/>
      <c r="C23" s="538"/>
      <c r="D23" s="538"/>
      <c r="E23" s="538"/>
      <c r="F23" s="538"/>
      <c r="G23" s="538"/>
      <c r="H23" s="600"/>
    </row>
    <row r="24" spans="1:8">
      <c r="A24" s="600"/>
      <c r="B24" s="600"/>
      <c r="C24" s="538"/>
      <c r="D24" s="538"/>
      <c r="E24" s="538"/>
      <c r="F24" s="538"/>
      <c r="G24" s="538"/>
      <c r="H24" s="600"/>
    </row>
    <row r="25" spans="1:8">
      <c r="A25" s="600"/>
      <c r="B25" s="600"/>
      <c r="C25" s="538"/>
      <c r="D25" s="538"/>
      <c r="E25" s="538"/>
      <c r="F25" s="538"/>
      <c r="G25" s="538"/>
      <c r="H25" s="600"/>
    </row>
    <row r="26" spans="1:8">
      <c r="A26" s="600"/>
      <c r="B26" s="600"/>
      <c r="C26" s="538"/>
      <c r="D26" s="538"/>
      <c r="E26" s="538"/>
      <c r="F26" s="538"/>
      <c r="G26" s="538"/>
      <c r="H26" s="600"/>
    </row>
    <row r="27" spans="1:8">
      <c r="A27" s="600"/>
      <c r="B27" s="600"/>
      <c r="C27" s="538"/>
      <c r="D27" s="538"/>
      <c r="E27" s="538"/>
      <c r="F27" s="538"/>
      <c r="G27" s="538"/>
      <c r="H27" s="600"/>
    </row>
    <row r="28" spans="1:8">
      <c r="A28" s="600"/>
      <c r="B28" s="600"/>
      <c r="C28" s="538"/>
      <c r="D28" s="538"/>
      <c r="E28" s="538"/>
      <c r="F28" s="538"/>
      <c r="G28" s="538"/>
      <c r="H28" s="600"/>
    </row>
    <row r="29" spans="1:8">
      <c r="A29" s="600"/>
      <c r="B29" s="600"/>
      <c r="C29" s="538"/>
      <c r="D29" s="538"/>
      <c r="E29" s="538"/>
      <c r="F29" s="538"/>
      <c r="G29" s="538"/>
      <c r="H29" s="600"/>
    </row>
    <row r="30" spans="1:8">
      <c r="A30" s="600"/>
      <c r="B30" s="600"/>
      <c r="C30" s="538"/>
      <c r="D30" s="538"/>
      <c r="E30" s="538"/>
      <c r="F30" s="538"/>
      <c r="G30" s="538"/>
      <c r="H30" s="600"/>
    </row>
    <row r="31" spans="1:8">
      <c r="A31" s="600"/>
      <c r="B31" s="600"/>
      <c r="C31" s="538"/>
      <c r="D31" s="538"/>
      <c r="E31" s="538"/>
      <c r="F31" s="538"/>
      <c r="G31" s="538"/>
      <c r="H31" s="600"/>
    </row>
    <row r="32" spans="1:8">
      <c r="A32" s="600"/>
      <c r="B32" s="600"/>
      <c r="C32" s="538"/>
      <c r="D32" s="538"/>
      <c r="E32" s="538"/>
      <c r="F32" s="538"/>
      <c r="G32" s="538"/>
      <c r="H32" s="600"/>
    </row>
    <row r="33" spans="1:8">
      <c r="A33" s="600"/>
      <c r="B33" s="600"/>
      <c r="C33" s="538"/>
      <c r="D33" s="538"/>
      <c r="E33" s="538"/>
      <c r="F33" s="538"/>
      <c r="G33" s="538"/>
      <c r="H33" s="600"/>
    </row>
    <row r="34" spans="1:8">
      <c r="A34" s="600"/>
      <c r="B34" s="600"/>
      <c r="C34" s="538"/>
      <c r="D34" s="538"/>
      <c r="E34" s="538"/>
      <c r="F34" s="538"/>
      <c r="G34" s="538"/>
      <c r="H34" s="600"/>
    </row>
    <row r="35" spans="1:8">
      <c r="A35" s="600"/>
      <c r="B35" s="600"/>
      <c r="C35" s="538"/>
      <c r="D35" s="538"/>
      <c r="E35" s="538"/>
      <c r="F35" s="538"/>
      <c r="G35" s="538"/>
      <c r="H35" s="600"/>
    </row>
    <row r="36" spans="1:8">
      <c r="A36" s="600"/>
      <c r="B36" s="600"/>
      <c r="C36" s="538"/>
      <c r="D36" s="538"/>
      <c r="E36" s="538"/>
      <c r="F36" s="538"/>
      <c r="G36" s="538"/>
      <c r="H36" s="600"/>
    </row>
    <row r="37" spans="1:8">
      <c r="A37" s="600"/>
      <c r="B37" s="600"/>
      <c r="C37" s="538"/>
      <c r="D37" s="538"/>
      <c r="E37" s="538"/>
      <c r="F37" s="538"/>
      <c r="G37" s="538"/>
      <c r="H37" s="600"/>
    </row>
    <row r="38" spans="1:8">
      <c r="A38" s="600"/>
      <c r="B38" s="600"/>
      <c r="C38" s="538"/>
      <c r="D38" s="538"/>
      <c r="E38" s="538"/>
      <c r="F38" s="538"/>
      <c r="G38" s="538"/>
      <c r="H38" s="600"/>
    </row>
    <row r="39" spans="1:8">
      <c r="A39" s="600"/>
      <c r="B39" s="600"/>
      <c r="C39" s="538"/>
      <c r="D39" s="538"/>
      <c r="E39" s="538"/>
      <c r="F39" s="538"/>
      <c r="G39" s="538"/>
      <c r="H39" s="600"/>
    </row>
    <row r="40" spans="1:8">
      <c r="A40" s="600"/>
      <c r="B40" s="600"/>
      <c r="C40" s="538"/>
      <c r="D40" s="538"/>
      <c r="E40" s="538"/>
      <c r="F40" s="538"/>
      <c r="G40" s="538"/>
      <c r="H40" s="600"/>
    </row>
  </sheetData>
  <mergeCells count="16">
    <mergeCell ref="A14:J14"/>
    <mergeCell ref="A1:J1"/>
    <mergeCell ref="A2:J2"/>
    <mergeCell ref="A5:H5"/>
    <mergeCell ref="I6:J6"/>
    <mergeCell ref="A7:A11"/>
    <mergeCell ref="B7:B11"/>
    <mergeCell ref="C7:H7"/>
    <mergeCell ref="I7:I11"/>
    <mergeCell ref="J7:J11"/>
    <mergeCell ref="C8:C9"/>
    <mergeCell ref="D8:D9"/>
    <mergeCell ref="E8:E9"/>
    <mergeCell ref="F8:F9"/>
    <mergeCell ref="G8:G9"/>
    <mergeCell ref="H8:H11"/>
  </mergeCells>
  <pageMargins left="0.48" right="0.59" top="1.21" bottom="0.98425196850393704" header="0.51181102362204722" footer="0.51181102362204722"/>
  <pageSetup paperSize="9" scale="76" orientation="landscape" r:id="rId1"/>
  <headerFooter alignWithMargins="0">
    <oddHeader>&amp;R4/c sz.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C1BE0-A035-4191-8D99-7BB11982A8A3}">
  <sheetPr>
    <tabColor theme="4" tint="0.59999389629810485"/>
  </sheetPr>
  <dimension ref="A1:X48"/>
  <sheetViews>
    <sheetView zoomScaleNormal="100" workbookViewId="0">
      <selection activeCell="K25" sqref="K25"/>
    </sheetView>
  </sheetViews>
  <sheetFormatPr defaultColWidth="9.140625" defaultRowHeight="12.75"/>
  <cols>
    <col min="1" max="1" width="6.5703125" style="601" customWidth="1"/>
    <col min="2" max="2" width="14.28515625" style="601" customWidth="1"/>
    <col min="3" max="3" width="10" style="539" customWidth="1"/>
    <col min="4" max="4" width="12.28515625" style="539" customWidth="1"/>
    <col min="5" max="5" width="12.42578125" style="539" customWidth="1"/>
    <col min="6" max="6" width="11.140625" style="539" bestFit="1" customWidth="1"/>
    <col min="7" max="7" width="10.5703125" style="539" customWidth="1"/>
    <col min="8" max="8" width="11.140625" style="539" customWidth="1"/>
    <col min="9" max="9" width="12.5703125" style="539" customWidth="1"/>
    <col min="10" max="10" width="16.140625" style="539" bestFit="1" customWidth="1"/>
    <col min="11" max="11" width="11.5703125" style="601" customWidth="1"/>
    <col min="12" max="12" width="9.140625" style="538"/>
    <col min="13" max="24" width="9.140625" style="536"/>
    <col min="25" max="16384" width="9.140625" style="537"/>
  </cols>
  <sheetData>
    <row r="1" spans="1:24">
      <c r="A1" s="837" t="s">
        <v>1041</v>
      </c>
      <c r="B1" s="837"/>
      <c r="C1" s="837"/>
      <c r="D1" s="837"/>
      <c r="E1" s="837"/>
      <c r="F1" s="837"/>
      <c r="G1" s="837"/>
      <c r="H1" s="837"/>
      <c r="I1" s="837"/>
      <c r="J1" s="837"/>
      <c r="K1" s="837"/>
    </row>
    <row r="2" spans="1:24" ht="15.75" customHeight="1">
      <c r="A2" s="827" t="s">
        <v>1046</v>
      </c>
      <c r="B2" s="827"/>
      <c r="C2" s="827"/>
      <c r="D2" s="827"/>
      <c r="E2" s="827"/>
      <c r="F2" s="827"/>
      <c r="G2" s="827"/>
      <c r="H2" s="827"/>
      <c r="I2" s="827"/>
      <c r="J2" s="827"/>
      <c r="K2" s="827"/>
    </row>
    <row r="3" spans="1:24" ht="15">
      <c r="A3" s="80"/>
      <c r="B3" s="80"/>
      <c r="C3" s="81"/>
      <c r="D3" s="81"/>
      <c r="E3" s="81"/>
      <c r="F3" s="81"/>
      <c r="G3" s="81"/>
      <c r="H3" s="81"/>
      <c r="I3" s="81"/>
      <c r="J3" s="57"/>
      <c r="K3" s="600"/>
    </row>
    <row r="4" spans="1:24">
      <c r="A4" s="602"/>
      <c r="B4" s="602"/>
      <c r="C4" s="602"/>
      <c r="D4" s="602"/>
      <c r="E4" s="602"/>
      <c r="F4" s="602"/>
      <c r="G4" s="602"/>
      <c r="H4" s="602"/>
      <c r="I4" s="602"/>
      <c r="J4" s="839" t="s">
        <v>198</v>
      </c>
      <c r="K4" s="839"/>
    </row>
    <row r="5" spans="1:24" s="541" customFormat="1" ht="12.75" customHeight="1">
      <c r="A5" s="731" t="s">
        <v>139</v>
      </c>
      <c r="B5" s="731" t="s">
        <v>53</v>
      </c>
      <c r="C5" s="802" t="s">
        <v>1047</v>
      </c>
      <c r="D5" s="802"/>
      <c r="E5" s="802"/>
      <c r="F5" s="802"/>
      <c r="G5" s="802"/>
      <c r="H5" s="802"/>
      <c r="I5" s="802"/>
      <c r="J5" s="802" t="s">
        <v>196</v>
      </c>
      <c r="K5" s="843" t="s">
        <v>124</v>
      </c>
      <c r="L5" s="600"/>
      <c r="M5" s="540"/>
      <c r="N5" s="540"/>
      <c r="O5" s="540"/>
      <c r="P5" s="540"/>
      <c r="Q5" s="540"/>
      <c r="R5" s="540"/>
      <c r="S5" s="540"/>
      <c r="T5" s="540"/>
      <c r="U5" s="540"/>
      <c r="V5" s="540"/>
      <c r="W5" s="540"/>
      <c r="X5" s="540"/>
    </row>
    <row r="6" spans="1:24" s="541" customFormat="1" ht="45" customHeight="1">
      <c r="A6" s="731"/>
      <c r="B6" s="731"/>
      <c r="C6" s="844" t="s">
        <v>26</v>
      </c>
      <c r="D6" s="791" t="s">
        <v>255</v>
      </c>
      <c r="E6" s="791"/>
      <c r="F6" s="791" t="s">
        <v>256</v>
      </c>
      <c r="G6" s="791"/>
      <c r="H6" s="791"/>
      <c r="I6" s="841" t="s">
        <v>77</v>
      </c>
      <c r="J6" s="802"/>
      <c r="K6" s="843"/>
      <c r="L6" s="600"/>
      <c r="M6" s="540"/>
      <c r="N6" s="540"/>
      <c r="O6" s="540"/>
      <c r="P6" s="540"/>
      <c r="Q6" s="540"/>
      <c r="R6" s="540"/>
      <c r="S6" s="540"/>
      <c r="T6" s="540"/>
      <c r="U6" s="540"/>
      <c r="V6" s="540"/>
      <c r="W6" s="540"/>
      <c r="X6" s="540"/>
    </row>
    <row r="7" spans="1:24" s="541" customFormat="1" ht="24">
      <c r="A7" s="731"/>
      <c r="B7" s="731"/>
      <c r="C7" s="844"/>
      <c r="D7" s="627" t="s">
        <v>214</v>
      </c>
      <c r="E7" s="625" t="s">
        <v>54</v>
      </c>
      <c r="F7" s="627" t="s">
        <v>214</v>
      </c>
      <c r="G7" s="627" t="s">
        <v>215</v>
      </c>
      <c r="H7" s="625" t="s">
        <v>54</v>
      </c>
      <c r="I7" s="841"/>
      <c r="J7" s="802"/>
      <c r="K7" s="843"/>
      <c r="L7" s="600"/>
      <c r="M7" s="540"/>
      <c r="N7" s="540"/>
      <c r="O7" s="540"/>
      <c r="P7" s="540"/>
      <c r="Q7" s="540"/>
      <c r="R7" s="540"/>
      <c r="S7" s="540"/>
      <c r="T7" s="540"/>
      <c r="U7" s="540"/>
      <c r="V7" s="540"/>
      <c r="W7" s="540"/>
      <c r="X7" s="540"/>
    </row>
    <row r="8" spans="1:24">
      <c r="A8" s="73">
        <v>1</v>
      </c>
      <c r="B8" s="68" t="s">
        <v>55</v>
      </c>
      <c r="C8" s="71"/>
      <c r="D8" s="592">
        <v>0</v>
      </c>
      <c r="E8" s="71">
        <f t="shared" ref="E8:E28" si="0">SUM(D8:D8)</f>
        <v>0</v>
      </c>
      <c r="F8" s="71">
        <v>2646770</v>
      </c>
      <c r="G8" s="592">
        <v>794080</v>
      </c>
      <c r="H8" s="71">
        <f>SUM(F8:G8)</f>
        <v>3440850</v>
      </c>
      <c r="I8" s="71">
        <f>SUM(H8,E8,C8)</f>
        <v>3440850</v>
      </c>
      <c r="J8" s="592">
        <f>794080+2646770</f>
        <v>3440850</v>
      </c>
      <c r="K8" s="603">
        <f t="shared" ref="K8:K28" si="1">J8-I8</f>
        <v>0</v>
      </c>
    </row>
    <row r="9" spans="1:24">
      <c r="A9" s="73">
        <v>2</v>
      </c>
      <c r="B9" s="68" t="s">
        <v>56</v>
      </c>
      <c r="C9" s="71"/>
      <c r="D9" s="592">
        <v>8512400</v>
      </c>
      <c r="E9" s="71">
        <f t="shared" si="0"/>
        <v>8512400</v>
      </c>
      <c r="F9" s="71">
        <v>9574230</v>
      </c>
      <c r="G9" s="592">
        <v>3716620</v>
      </c>
      <c r="H9" s="71">
        <f t="shared" ref="H9:H28" si="2">SUM(F9:G9)</f>
        <v>13290850</v>
      </c>
      <c r="I9" s="71">
        <f t="shared" ref="I9:I28" si="3">SUM(H9,E9,C9)</f>
        <v>21803250</v>
      </c>
      <c r="J9" s="592">
        <f>18111630+3716620</f>
        <v>21828250</v>
      </c>
      <c r="K9" s="603">
        <f t="shared" si="1"/>
        <v>25000</v>
      </c>
    </row>
    <row r="10" spans="1:24">
      <c r="A10" s="73">
        <v>3</v>
      </c>
      <c r="B10" s="68" t="s">
        <v>57</v>
      </c>
      <c r="C10" s="71"/>
      <c r="D10" s="592">
        <v>0</v>
      </c>
      <c r="E10" s="71">
        <f t="shared" si="0"/>
        <v>0</v>
      </c>
      <c r="F10" s="71">
        <v>2418660</v>
      </c>
      <c r="G10" s="592">
        <v>680640</v>
      </c>
      <c r="H10" s="71">
        <f t="shared" si="2"/>
        <v>3099300</v>
      </c>
      <c r="I10" s="71">
        <f t="shared" si="3"/>
        <v>3099300</v>
      </c>
      <c r="J10" s="592">
        <f>2443660+680640</f>
        <v>3124300</v>
      </c>
      <c r="K10" s="603">
        <f t="shared" si="1"/>
        <v>25000</v>
      </c>
    </row>
    <row r="11" spans="1:24">
      <c r="A11" s="73">
        <v>4</v>
      </c>
      <c r="B11" s="68" t="s">
        <v>58</v>
      </c>
      <c r="C11" s="71"/>
      <c r="D11" s="592">
        <v>4256200</v>
      </c>
      <c r="E11" s="71">
        <f t="shared" si="0"/>
        <v>4256200</v>
      </c>
      <c r="F11" s="71">
        <v>0</v>
      </c>
      <c r="G11" s="592">
        <v>0</v>
      </c>
      <c r="H11" s="71">
        <f t="shared" si="2"/>
        <v>0</v>
      </c>
      <c r="I11" s="71">
        <f t="shared" si="3"/>
        <v>4256200</v>
      </c>
      <c r="J11" s="592">
        <v>4256200</v>
      </c>
      <c r="K11" s="603">
        <f t="shared" si="1"/>
        <v>0</v>
      </c>
    </row>
    <row r="12" spans="1:24">
      <c r="A12" s="73">
        <v>5</v>
      </c>
      <c r="B12" s="68" t="s">
        <v>59</v>
      </c>
      <c r="C12" s="71"/>
      <c r="D12" s="592">
        <v>0</v>
      </c>
      <c r="E12" s="71">
        <f t="shared" si="0"/>
        <v>0</v>
      </c>
      <c r="F12" s="71">
        <v>2771770</v>
      </c>
      <c r="G12" s="592">
        <v>794080</v>
      </c>
      <c r="H12" s="71">
        <f t="shared" si="2"/>
        <v>3565850</v>
      </c>
      <c r="I12" s="71">
        <f t="shared" si="3"/>
        <v>3565850</v>
      </c>
      <c r="J12" s="592">
        <f>2771770+794080</f>
        <v>3565850</v>
      </c>
      <c r="K12" s="603">
        <f t="shared" si="1"/>
        <v>0</v>
      </c>
    </row>
    <row r="13" spans="1:24">
      <c r="A13" s="73">
        <v>6</v>
      </c>
      <c r="B13" s="78" t="s">
        <v>60</v>
      </c>
      <c r="C13" s="72">
        <v>78161099</v>
      </c>
      <c r="D13" s="592">
        <v>36208315</v>
      </c>
      <c r="E13" s="71">
        <f t="shared" si="0"/>
        <v>36208315</v>
      </c>
      <c r="F13" s="72">
        <v>63166190</v>
      </c>
      <c r="G13" s="72">
        <v>13829238</v>
      </c>
      <c r="H13" s="71">
        <f t="shared" si="2"/>
        <v>76995428</v>
      </c>
      <c r="I13" s="71">
        <f t="shared" si="3"/>
        <v>191364842</v>
      </c>
      <c r="J13" s="592">
        <f>99141209+13868024+77812993</f>
        <v>190822226</v>
      </c>
      <c r="K13" s="603">
        <f t="shared" si="1"/>
        <v>-542616</v>
      </c>
    </row>
    <row r="14" spans="1:24">
      <c r="A14" s="73">
        <v>7</v>
      </c>
      <c r="B14" s="68" t="s">
        <v>61</v>
      </c>
      <c r="C14" s="71"/>
      <c r="D14" s="592">
        <v>0</v>
      </c>
      <c r="E14" s="71">
        <f t="shared" si="0"/>
        <v>0</v>
      </c>
      <c r="F14" s="71">
        <v>2015550</v>
      </c>
      <c r="G14" s="592">
        <v>567200</v>
      </c>
      <c r="H14" s="71">
        <f t="shared" si="2"/>
        <v>2582750</v>
      </c>
      <c r="I14" s="71">
        <f t="shared" si="3"/>
        <v>2582750</v>
      </c>
      <c r="J14" s="592">
        <f>567200+2040550</f>
        <v>2607750</v>
      </c>
      <c r="K14" s="603">
        <f t="shared" si="1"/>
        <v>25000</v>
      </c>
    </row>
    <row r="15" spans="1:24">
      <c r="A15" s="73">
        <v>8</v>
      </c>
      <c r="B15" s="68" t="s">
        <v>192</v>
      </c>
      <c r="C15" s="71"/>
      <c r="D15" s="592">
        <v>0</v>
      </c>
      <c r="E15" s="71">
        <f t="shared" si="0"/>
        <v>0</v>
      </c>
      <c r="F15" s="71">
        <v>4537320</v>
      </c>
      <c r="G15" s="592">
        <v>1361280</v>
      </c>
      <c r="H15" s="71">
        <f t="shared" si="2"/>
        <v>5898600</v>
      </c>
      <c r="I15" s="71">
        <f t="shared" si="3"/>
        <v>5898600</v>
      </c>
      <c r="J15" s="592">
        <f>4537320+1361280</f>
        <v>5898600</v>
      </c>
      <c r="K15" s="603">
        <f t="shared" si="1"/>
        <v>0</v>
      </c>
    </row>
    <row r="16" spans="1:24">
      <c r="A16" s="73">
        <v>9</v>
      </c>
      <c r="B16" s="68" t="s">
        <v>62</v>
      </c>
      <c r="C16" s="71"/>
      <c r="D16" s="592">
        <v>0</v>
      </c>
      <c r="E16" s="71">
        <f t="shared" si="0"/>
        <v>0</v>
      </c>
      <c r="F16" s="71">
        <v>4159210</v>
      </c>
      <c r="G16" s="592">
        <v>1247840</v>
      </c>
      <c r="H16" s="71">
        <f t="shared" si="2"/>
        <v>5407050</v>
      </c>
      <c r="I16" s="71">
        <f t="shared" si="3"/>
        <v>5407050</v>
      </c>
      <c r="J16" s="592">
        <f>4159210+1247840</f>
        <v>5407050</v>
      </c>
      <c r="K16" s="603">
        <f t="shared" si="1"/>
        <v>0</v>
      </c>
    </row>
    <row r="17" spans="1:24">
      <c r="A17" s="73">
        <v>10</v>
      </c>
      <c r="B17" s="68" t="s">
        <v>63</v>
      </c>
      <c r="C17" s="71"/>
      <c r="D17" s="592">
        <v>6384300</v>
      </c>
      <c r="E17" s="71">
        <f t="shared" si="0"/>
        <v>6384300</v>
      </c>
      <c r="F17" s="71">
        <v>4537320</v>
      </c>
      <c r="G17" s="592">
        <v>1361280</v>
      </c>
      <c r="H17" s="71">
        <f t="shared" si="2"/>
        <v>5898600</v>
      </c>
      <c r="I17" s="71">
        <f t="shared" si="3"/>
        <v>12282900</v>
      </c>
      <c r="J17" s="592">
        <f>10921620+1361280</f>
        <v>12282900</v>
      </c>
      <c r="K17" s="603">
        <f t="shared" si="1"/>
        <v>0</v>
      </c>
    </row>
    <row r="18" spans="1:24">
      <c r="A18" s="73">
        <v>11</v>
      </c>
      <c r="B18" s="68" t="s">
        <v>64</v>
      </c>
      <c r="C18" s="71"/>
      <c r="D18" s="592">
        <v>0</v>
      </c>
      <c r="E18" s="71">
        <f t="shared" si="0"/>
        <v>0</v>
      </c>
      <c r="F18" s="71">
        <v>5946650</v>
      </c>
      <c r="G18" s="592">
        <v>1701600</v>
      </c>
      <c r="H18" s="71">
        <f t="shared" si="2"/>
        <v>7648250</v>
      </c>
      <c r="I18" s="71">
        <f t="shared" si="3"/>
        <v>7648250</v>
      </c>
      <c r="J18" s="592">
        <f>1701600+5946650</f>
        <v>7648250</v>
      </c>
      <c r="K18" s="603">
        <f t="shared" si="1"/>
        <v>0</v>
      </c>
    </row>
    <row r="19" spans="1:24">
      <c r="A19" s="73">
        <v>12</v>
      </c>
      <c r="B19" s="68" t="s">
        <v>65</v>
      </c>
      <c r="C19" s="71"/>
      <c r="D19" s="592">
        <v>0</v>
      </c>
      <c r="E19" s="71">
        <f t="shared" si="0"/>
        <v>0</v>
      </c>
      <c r="F19" s="71">
        <v>4915430</v>
      </c>
      <c r="G19" s="592">
        <v>1474720</v>
      </c>
      <c r="H19" s="71">
        <f t="shared" si="2"/>
        <v>6390150</v>
      </c>
      <c r="I19" s="71">
        <f t="shared" si="3"/>
        <v>6390150</v>
      </c>
      <c r="J19" s="592">
        <f>4915430+1474720</f>
        <v>6390150</v>
      </c>
      <c r="K19" s="603">
        <f t="shared" si="1"/>
        <v>0</v>
      </c>
    </row>
    <row r="20" spans="1:24">
      <c r="A20" s="73">
        <v>13</v>
      </c>
      <c r="B20" s="68" t="s">
        <v>66</v>
      </c>
      <c r="C20" s="71"/>
      <c r="D20" s="592">
        <v>0</v>
      </c>
      <c r="E20" s="71">
        <f t="shared" si="0"/>
        <v>0</v>
      </c>
      <c r="F20" s="71">
        <v>0</v>
      </c>
      <c r="G20" s="592">
        <v>0</v>
      </c>
      <c r="H20" s="71">
        <f t="shared" si="2"/>
        <v>0</v>
      </c>
      <c r="I20" s="71">
        <f t="shared" si="3"/>
        <v>0</v>
      </c>
      <c r="J20" s="592">
        <v>0</v>
      </c>
      <c r="K20" s="603">
        <f t="shared" si="1"/>
        <v>0</v>
      </c>
    </row>
    <row r="21" spans="1:24">
      <c r="A21" s="73">
        <v>14</v>
      </c>
      <c r="B21" s="68" t="s">
        <v>67</v>
      </c>
      <c r="C21" s="71"/>
      <c r="D21" s="592">
        <v>0</v>
      </c>
      <c r="E21" s="71">
        <f t="shared" si="0"/>
        <v>0</v>
      </c>
      <c r="F21" s="71">
        <v>2493660</v>
      </c>
      <c r="G21" s="592">
        <v>680640</v>
      </c>
      <c r="H21" s="71">
        <f t="shared" si="2"/>
        <v>3174300</v>
      </c>
      <c r="I21" s="71">
        <f t="shared" si="3"/>
        <v>3174300</v>
      </c>
      <c r="J21" s="592">
        <f>680640+2493660</f>
        <v>3174300</v>
      </c>
      <c r="K21" s="603">
        <f t="shared" si="1"/>
        <v>0</v>
      </c>
    </row>
    <row r="22" spans="1:24">
      <c r="A22" s="73">
        <v>15</v>
      </c>
      <c r="B22" s="68" t="s">
        <v>68</v>
      </c>
      <c r="C22" s="71"/>
      <c r="D22" s="592">
        <v>0</v>
      </c>
      <c r="E22" s="71">
        <f t="shared" si="0"/>
        <v>0</v>
      </c>
      <c r="F22" s="71">
        <v>4687320</v>
      </c>
      <c r="G22" s="592">
        <v>1361280</v>
      </c>
      <c r="H22" s="71">
        <f t="shared" si="2"/>
        <v>6048600</v>
      </c>
      <c r="I22" s="71">
        <f t="shared" si="3"/>
        <v>6048600</v>
      </c>
      <c r="J22" s="592">
        <f>4712320+1361280</f>
        <v>6073600</v>
      </c>
      <c r="K22" s="603">
        <f t="shared" si="1"/>
        <v>25000</v>
      </c>
    </row>
    <row r="23" spans="1:24">
      <c r="A23" s="73">
        <v>16</v>
      </c>
      <c r="B23" s="68" t="s">
        <v>69</v>
      </c>
      <c r="C23" s="71"/>
      <c r="D23" s="592">
        <v>0</v>
      </c>
      <c r="E23" s="71">
        <f t="shared" si="0"/>
        <v>0</v>
      </c>
      <c r="F23" s="71">
        <v>0</v>
      </c>
      <c r="G23" s="592">
        <v>0</v>
      </c>
      <c r="H23" s="71">
        <f t="shared" si="2"/>
        <v>0</v>
      </c>
      <c r="I23" s="71">
        <f t="shared" si="3"/>
        <v>0</v>
      </c>
      <c r="J23" s="592">
        <v>0</v>
      </c>
      <c r="K23" s="603">
        <f t="shared" si="1"/>
        <v>0</v>
      </c>
    </row>
    <row r="24" spans="1:24">
      <c r="A24" s="73">
        <v>17</v>
      </c>
      <c r="B24" s="78" t="s">
        <v>70</v>
      </c>
      <c r="C24" s="71"/>
      <c r="D24" s="592">
        <v>4256200</v>
      </c>
      <c r="E24" s="71">
        <f t="shared" si="0"/>
        <v>4256200</v>
      </c>
      <c r="F24" s="71">
        <v>8696530</v>
      </c>
      <c r="G24" s="592">
        <v>2609120</v>
      </c>
      <c r="H24" s="71">
        <f t="shared" si="2"/>
        <v>11305650</v>
      </c>
      <c r="I24" s="71">
        <f t="shared" si="3"/>
        <v>15561850</v>
      </c>
      <c r="J24" s="592">
        <f>12952730+2609120</f>
        <v>15561850</v>
      </c>
      <c r="K24" s="603">
        <f t="shared" si="1"/>
        <v>0</v>
      </c>
    </row>
    <row r="25" spans="1:24">
      <c r="A25" s="73">
        <v>18</v>
      </c>
      <c r="B25" s="68" t="s">
        <v>71</v>
      </c>
      <c r="C25" s="71"/>
      <c r="D25" s="592">
        <v>0</v>
      </c>
      <c r="E25" s="71">
        <f t="shared" si="0"/>
        <v>0</v>
      </c>
      <c r="F25" s="71">
        <v>0</v>
      </c>
      <c r="G25" s="592">
        <v>0</v>
      </c>
      <c r="H25" s="71">
        <f t="shared" si="2"/>
        <v>0</v>
      </c>
      <c r="I25" s="71">
        <f t="shared" si="3"/>
        <v>0</v>
      </c>
      <c r="J25" s="592">
        <v>0</v>
      </c>
      <c r="K25" s="603">
        <f t="shared" si="1"/>
        <v>0</v>
      </c>
    </row>
    <row r="26" spans="1:24">
      <c r="A26" s="73">
        <v>19</v>
      </c>
      <c r="B26" s="68" t="s">
        <v>72</v>
      </c>
      <c r="C26" s="71"/>
      <c r="D26" s="592">
        <v>0</v>
      </c>
      <c r="E26" s="71">
        <f t="shared" si="0"/>
        <v>0</v>
      </c>
      <c r="F26" s="592">
        <v>1890550</v>
      </c>
      <c r="G26" s="592">
        <v>567200</v>
      </c>
      <c r="H26" s="71">
        <f t="shared" si="2"/>
        <v>2457750</v>
      </c>
      <c r="I26" s="71">
        <f t="shared" si="3"/>
        <v>2457750</v>
      </c>
      <c r="J26" s="592">
        <f>1890550+567200</f>
        <v>2457750</v>
      </c>
      <c r="K26" s="603">
        <f t="shared" si="1"/>
        <v>0</v>
      </c>
    </row>
    <row r="27" spans="1:24" s="541" customFormat="1" ht="12.75" customHeight="1">
      <c r="A27" s="73" t="s">
        <v>228</v>
      </c>
      <c r="B27" s="68" t="s">
        <v>249</v>
      </c>
      <c r="C27" s="71"/>
      <c r="D27" s="592">
        <v>0</v>
      </c>
      <c r="E27" s="71">
        <f t="shared" si="0"/>
        <v>0</v>
      </c>
      <c r="F27" s="592">
        <v>5090430</v>
      </c>
      <c r="G27" s="592">
        <v>1474720</v>
      </c>
      <c r="H27" s="71">
        <f t="shared" si="2"/>
        <v>6565150</v>
      </c>
      <c r="I27" s="71">
        <f t="shared" si="3"/>
        <v>6565150</v>
      </c>
      <c r="J27" s="592">
        <f>1474720+5115430</f>
        <v>6590150</v>
      </c>
      <c r="K27" s="603">
        <f t="shared" si="1"/>
        <v>25000</v>
      </c>
      <c r="L27" s="600"/>
      <c r="M27" s="540"/>
      <c r="N27" s="540"/>
      <c r="O27" s="540"/>
      <c r="P27" s="540"/>
      <c r="Q27" s="540"/>
      <c r="R27" s="540"/>
      <c r="S27" s="540"/>
      <c r="T27" s="540"/>
      <c r="U27" s="540"/>
      <c r="V27" s="540"/>
      <c r="W27" s="540"/>
      <c r="X27" s="540"/>
    </row>
    <row r="28" spans="1:24" ht="12.75" customHeight="1">
      <c r="A28" s="73" t="s">
        <v>229</v>
      </c>
      <c r="B28" s="68" t="s">
        <v>251</v>
      </c>
      <c r="C28" s="71"/>
      <c r="D28" s="592">
        <v>0</v>
      </c>
      <c r="E28" s="71">
        <f t="shared" si="0"/>
        <v>0</v>
      </c>
      <c r="F28" s="592">
        <v>0</v>
      </c>
      <c r="G28" s="592">
        <v>0</v>
      </c>
      <c r="H28" s="71">
        <f t="shared" si="2"/>
        <v>0</v>
      </c>
      <c r="I28" s="71">
        <f t="shared" si="3"/>
        <v>0</v>
      </c>
      <c r="J28" s="592">
        <v>0</v>
      </c>
      <c r="K28" s="603">
        <f t="shared" si="1"/>
        <v>0</v>
      </c>
    </row>
    <row r="29" spans="1:24" s="536" customFormat="1" ht="15">
      <c r="A29" s="628"/>
      <c r="B29" s="626" t="s">
        <v>54</v>
      </c>
      <c r="C29" s="629">
        <f t="shared" ref="C29:K29" si="4">SUM(C8:C28)</f>
        <v>78161099</v>
      </c>
      <c r="D29" s="629">
        <f t="shared" si="4"/>
        <v>59617415</v>
      </c>
      <c r="E29" s="629">
        <f t="shared" si="4"/>
        <v>59617415</v>
      </c>
      <c r="F29" s="629">
        <f t="shared" si="4"/>
        <v>129547590</v>
      </c>
      <c r="G29" s="629">
        <f t="shared" si="4"/>
        <v>34221538</v>
      </c>
      <c r="H29" s="629">
        <f>SUM(H8:H28)</f>
        <v>163769128</v>
      </c>
      <c r="I29" s="629">
        <f t="shared" si="4"/>
        <v>301547642</v>
      </c>
      <c r="J29" s="629">
        <f t="shared" si="4"/>
        <v>301130026</v>
      </c>
      <c r="K29" s="629">
        <f t="shared" si="4"/>
        <v>-417616</v>
      </c>
      <c r="L29" s="538"/>
    </row>
    <row r="30" spans="1:24" s="536" customFormat="1">
      <c r="A30" s="754"/>
      <c r="B30" s="754"/>
      <c r="C30" s="754"/>
      <c r="D30" s="754"/>
      <c r="E30" s="754"/>
      <c r="F30" s="754"/>
      <c r="G30" s="754"/>
      <c r="H30" s="754"/>
      <c r="I30" s="754"/>
      <c r="J30" s="754"/>
      <c r="K30" s="754"/>
      <c r="L30" s="538"/>
    </row>
    <row r="31" spans="1:24" s="536" customFormat="1">
      <c r="A31" s="600"/>
      <c r="B31" s="600"/>
      <c r="C31" s="538"/>
      <c r="D31" s="538"/>
      <c r="E31" s="538"/>
      <c r="F31" s="538"/>
      <c r="G31" s="538"/>
      <c r="H31" s="538"/>
      <c r="I31" s="538"/>
      <c r="J31" s="538"/>
      <c r="K31" s="600"/>
      <c r="L31" s="538"/>
    </row>
    <row r="32" spans="1:24">
      <c r="A32" s="847" t="s">
        <v>60</v>
      </c>
      <c r="B32" s="847"/>
      <c r="C32" s="847"/>
      <c r="D32" s="847"/>
      <c r="E32" s="581"/>
      <c r="F32" s="83"/>
      <c r="G32" s="83"/>
      <c r="H32" s="83"/>
      <c r="I32" s="83"/>
      <c r="J32" s="538"/>
      <c r="K32" s="600"/>
    </row>
    <row r="33" spans="1:24">
      <c r="A33" s="845" t="s">
        <v>1078</v>
      </c>
      <c r="B33" s="845"/>
      <c r="C33" s="845"/>
      <c r="D33" s="845"/>
      <c r="E33" s="582">
        <f>113440-746546</f>
        <v>-633106</v>
      </c>
      <c r="F33" s="83"/>
      <c r="G33" s="83"/>
      <c r="H33" s="83"/>
      <c r="I33" s="83"/>
      <c r="J33" s="538"/>
      <c r="K33" s="600"/>
    </row>
    <row r="34" spans="1:24">
      <c r="A34" s="845" t="s">
        <v>1028</v>
      </c>
      <c r="B34" s="845"/>
      <c r="C34" s="845"/>
      <c r="D34" s="845"/>
      <c r="E34" s="582">
        <v>135140</v>
      </c>
      <c r="F34" s="83"/>
      <c r="G34" s="83"/>
      <c r="H34" s="83"/>
      <c r="I34" s="83"/>
      <c r="J34" s="538"/>
      <c r="K34" s="600"/>
    </row>
    <row r="35" spans="1:24" s="538" customFormat="1">
      <c r="A35" s="845" t="s">
        <v>518</v>
      </c>
      <c r="B35" s="845"/>
      <c r="C35" s="845"/>
      <c r="D35" s="845"/>
      <c r="E35" s="582">
        <f>378110-74654</f>
        <v>303456</v>
      </c>
      <c r="F35" s="83"/>
      <c r="G35" s="83"/>
      <c r="H35" s="83"/>
      <c r="I35" s="83"/>
      <c r="K35" s="600"/>
      <c r="M35" s="536"/>
      <c r="N35" s="536"/>
      <c r="O35" s="536"/>
      <c r="P35" s="536"/>
      <c r="Q35" s="536"/>
      <c r="R35" s="536"/>
      <c r="S35" s="536"/>
      <c r="T35" s="536"/>
      <c r="U35" s="536"/>
      <c r="V35" s="536"/>
      <c r="W35" s="536"/>
      <c r="X35" s="536"/>
    </row>
    <row r="36" spans="1:24" s="538" customFormat="1">
      <c r="A36" s="845" t="s">
        <v>1029</v>
      </c>
      <c r="B36" s="845"/>
      <c r="C36" s="845"/>
      <c r="D36" s="845"/>
      <c r="E36" s="582">
        <v>-180106</v>
      </c>
      <c r="F36" s="83"/>
      <c r="G36" s="83"/>
      <c r="H36" s="83"/>
      <c r="I36" s="83"/>
      <c r="K36" s="600"/>
      <c r="M36" s="536"/>
      <c r="N36" s="536"/>
      <c r="O36" s="536"/>
      <c r="P36" s="536"/>
      <c r="Q36" s="536"/>
      <c r="R36" s="536"/>
      <c r="S36" s="536"/>
      <c r="T36" s="536"/>
      <c r="U36" s="536"/>
      <c r="V36" s="536"/>
      <c r="W36" s="536"/>
      <c r="X36" s="536"/>
    </row>
    <row r="37" spans="1:24" s="538" customFormat="1">
      <c r="A37" s="845" t="s">
        <v>1030</v>
      </c>
      <c r="B37" s="845"/>
      <c r="C37" s="845"/>
      <c r="D37" s="845"/>
      <c r="E37" s="582">
        <f>852000-1020000</f>
        <v>-168000</v>
      </c>
      <c r="F37" s="83"/>
      <c r="G37" s="83"/>
      <c r="H37" s="83"/>
      <c r="I37" s="83"/>
      <c r="K37" s="600"/>
      <c r="M37" s="536"/>
      <c r="N37" s="536"/>
      <c r="O37" s="536"/>
      <c r="P37" s="536"/>
      <c r="Q37" s="536"/>
      <c r="R37" s="536"/>
      <c r="S37" s="536"/>
      <c r="T37" s="536"/>
      <c r="U37" s="536"/>
      <c r="V37" s="536"/>
      <c r="W37" s="536"/>
      <c r="X37" s="536"/>
    </row>
    <row r="38" spans="1:24" s="538" customFormat="1">
      <c r="A38" s="846"/>
      <c r="B38" s="846"/>
      <c r="C38" s="846"/>
      <c r="D38" s="846"/>
      <c r="E38" s="582">
        <f>SUM(E33:E37)</f>
        <v>-542616</v>
      </c>
      <c r="F38" s="83"/>
      <c r="G38" s="83"/>
      <c r="H38" s="83"/>
      <c r="I38" s="83"/>
      <c r="K38" s="600"/>
      <c r="M38" s="536"/>
      <c r="N38" s="536"/>
      <c r="O38" s="536"/>
      <c r="P38" s="536"/>
      <c r="Q38" s="536"/>
      <c r="R38" s="536"/>
      <c r="S38" s="536"/>
      <c r="T38" s="536"/>
      <c r="U38" s="536"/>
      <c r="V38" s="536"/>
      <c r="W38" s="536"/>
      <c r="X38" s="536"/>
    </row>
    <row r="39" spans="1:24" s="538" customFormat="1">
      <c r="A39" s="583" t="s">
        <v>1031</v>
      </c>
      <c r="B39" s="82"/>
      <c r="C39" s="83"/>
      <c r="D39" s="83"/>
      <c r="E39" s="83"/>
      <c r="F39" s="83"/>
      <c r="G39" s="83"/>
      <c r="H39" s="83"/>
      <c r="I39" s="83"/>
      <c r="K39" s="600"/>
      <c r="M39" s="536"/>
      <c r="N39" s="536"/>
      <c r="O39" s="536"/>
      <c r="P39" s="536"/>
      <c r="Q39" s="536"/>
      <c r="R39" s="536"/>
      <c r="S39" s="536"/>
      <c r="T39" s="536"/>
      <c r="U39" s="536"/>
      <c r="V39" s="536"/>
      <c r="W39" s="536"/>
      <c r="X39" s="536"/>
    </row>
    <row r="40" spans="1:24" s="538" customFormat="1">
      <c r="A40" s="600"/>
      <c r="B40" s="600"/>
      <c r="K40" s="600"/>
      <c r="M40" s="536"/>
      <c r="N40" s="536"/>
      <c r="O40" s="536"/>
      <c r="P40" s="536"/>
      <c r="Q40" s="536"/>
      <c r="R40" s="536"/>
      <c r="S40" s="536"/>
      <c r="T40" s="536"/>
      <c r="U40" s="536"/>
      <c r="V40" s="536"/>
      <c r="W40" s="536"/>
      <c r="X40" s="536"/>
    </row>
    <row r="41" spans="1:24" s="538" customFormat="1">
      <c r="A41" s="600"/>
      <c r="B41" s="600"/>
      <c r="K41" s="600"/>
      <c r="M41" s="536"/>
      <c r="N41" s="536"/>
      <c r="O41" s="536"/>
      <c r="P41" s="536"/>
      <c r="Q41" s="536"/>
      <c r="R41" s="536"/>
      <c r="S41" s="536"/>
      <c r="T41" s="536"/>
      <c r="U41" s="536"/>
      <c r="V41" s="536"/>
      <c r="W41" s="536"/>
      <c r="X41" s="536"/>
    </row>
    <row r="42" spans="1:24" s="538" customFormat="1">
      <c r="A42" s="600"/>
      <c r="B42" s="600"/>
      <c r="K42" s="600"/>
      <c r="M42" s="536"/>
      <c r="N42" s="536"/>
      <c r="O42" s="536"/>
      <c r="P42" s="536"/>
      <c r="Q42" s="536"/>
      <c r="R42" s="536"/>
      <c r="S42" s="536"/>
      <c r="T42" s="536"/>
      <c r="U42" s="536"/>
      <c r="V42" s="536"/>
      <c r="W42" s="536"/>
      <c r="X42" s="536"/>
    </row>
    <row r="43" spans="1:24" s="538" customFormat="1">
      <c r="A43" s="600"/>
      <c r="B43" s="600"/>
      <c r="K43" s="600"/>
      <c r="M43" s="536"/>
      <c r="N43" s="536"/>
      <c r="O43" s="536"/>
      <c r="P43" s="536"/>
      <c r="Q43" s="536"/>
      <c r="R43" s="536"/>
      <c r="S43" s="536"/>
      <c r="T43" s="536"/>
      <c r="U43" s="536"/>
      <c r="V43" s="536"/>
      <c r="W43" s="536"/>
      <c r="X43" s="536"/>
    </row>
    <row r="44" spans="1:24" s="538" customFormat="1">
      <c r="A44" s="600"/>
      <c r="B44" s="600"/>
      <c r="K44" s="600"/>
      <c r="M44" s="536"/>
      <c r="N44" s="536"/>
      <c r="O44" s="536"/>
      <c r="P44" s="536"/>
      <c r="Q44" s="536"/>
      <c r="R44" s="536"/>
      <c r="S44" s="536"/>
      <c r="T44" s="536"/>
      <c r="U44" s="536"/>
      <c r="V44" s="536"/>
      <c r="W44" s="536"/>
      <c r="X44" s="536"/>
    </row>
    <row r="45" spans="1:24" s="538" customFormat="1">
      <c r="A45" s="600"/>
      <c r="B45" s="600"/>
      <c r="K45" s="600"/>
      <c r="M45" s="536"/>
      <c r="N45" s="536"/>
      <c r="O45" s="536"/>
      <c r="P45" s="536"/>
      <c r="Q45" s="536"/>
      <c r="R45" s="536"/>
      <c r="S45" s="536"/>
      <c r="T45" s="536"/>
      <c r="U45" s="536"/>
      <c r="V45" s="536"/>
      <c r="W45" s="536"/>
      <c r="X45" s="536"/>
    </row>
    <row r="46" spans="1:24" s="538" customFormat="1">
      <c r="A46" s="600"/>
      <c r="B46" s="600"/>
      <c r="K46" s="600"/>
      <c r="M46" s="536"/>
      <c r="N46" s="536"/>
      <c r="O46" s="536"/>
      <c r="P46" s="536"/>
      <c r="Q46" s="536"/>
      <c r="R46" s="536"/>
      <c r="S46" s="536"/>
      <c r="T46" s="536"/>
      <c r="U46" s="536"/>
      <c r="V46" s="536"/>
      <c r="W46" s="536"/>
      <c r="X46" s="536"/>
    </row>
    <row r="47" spans="1:24" s="538" customFormat="1">
      <c r="A47" s="600"/>
      <c r="B47" s="600"/>
      <c r="K47" s="600"/>
      <c r="M47" s="536"/>
      <c r="N47" s="536"/>
      <c r="O47" s="536"/>
      <c r="P47" s="536"/>
      <c r="Q47" s="536"/>
      <c r="R47" s="536"/>
      <c r="S47" s="536"/>
      <c r="T47" s="536"/>
      <c r="U47" s="536"/>
      <c r="V47" s="536"/>
      <c r="W47" s="536"/>
      <c r="X47" s="536"/>
    </row>
    <row r="48" spans="1:24" s="538" customFormat="1">
      <c r="A48" s="600"/>
      <c r="B48" s="600"/>
      <c r="K48" s="600"/>
      <c r="M48" s="536"/>
      <c r="N48" s="536"/>
      <c r="O48" s="536"/>
      <c r="P48" s="536"/>
      <c r="Q48" s="536"/>
      <c r="R48" s="536"/>
      <c r="S48" s="536"/>
      <c r="T48" s="536"/>
      <c r="U48" s="536"/>
      <c r="V48" s="536"/>
      <c r="W48" s="536"/>
      <c r="X48" s="536"/>
    </row>
  </sheetData>
  <mergeCells count="20">
    <mergeCell ref="A36:D36"/>
    <mergeCell ref="A37:D37"/>
    <mergeCell ref="A38:D38"/>
    <mergeCell ref="F6:H6"/>
    <mergeCell ref="A30:K30"/>
    <mergeCell ref="A32:D32"/>
    <mergeCell ref="A33:D33"/>
    <mergeCell ref="A34:D34"/>
    <mergeCell ref="A35:D35"/>
    <mergeCell ref="A1:K1"/>
    <mergeCell ref="A2:K2"/>
    <mergeCell ref="J4:K4"/>
    <mergeCell ref="A5:A7"/>
    <mergeCell ref="B5:B7"/>
    <mergeCell ref="C5:I5"/>
    <mergeCell ref="J5:J7"/>
    <mergeCell ref="K5:K7"/>
    <mergeCell ref="C6:C7"/>
    <mergeCell ref="D6:E6"/>
    <mergeCell ref="I6:I7"/>
  </mergeCells>
  <printOptions horizontalCentered="1"/>
  <pageMargins left="0.23622047244094491" right="0.35433070866141736" top="0.98425196850393704" bottom="0.98425196850393704" header="0.51181102362204722" footer="0.51181102362204722"/>
  <pageSetup paperSize="9" scale="78" orientation="landscape" r:id="rId1"/>
  <headerFooter alignWithMargins="0">
    <oddHeader>&amp;R4/d sz.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tabColor theme="4" tint="0.39997558519241921"/>
    <pageSetUpPr fitToPage="1"/>
  </sheetPr>
  <dimension ref="A1:Y51"/>
  <sheetViews>
    <sheetView topLeftCell="A13" zoomScaleNormal="100" workbookViewId="0">
      <selection activeCell="D23" sqref="D23"/>
    </sheetView>
  </sheetViews>
  <sheetFormatPr defaultRowHeight="12.75"/>
  <cols>
    <col min="1" max="2" width="6.140625" customWidth="1"/>
    <col min="3" max="3" width="12.85546875" customWidth="1"/>
    <col min="4" max="4" width="61.7109375" customWidth="1"/>
    <col min="5" max="7" width="16.140625" style="6" bestFit="1" customWidth="1"/>
    <col min="8" max="8" width="17.42578125" style="88" bestFit="1" customWidth="1"/>
    <col min="9" max="25" width="9.140625" style="46"/>
  </cols>
  <sheetData>
    <row r="1" spans="1:25">
      <c r="A1" s="729" t="s">
        <v>1041</v>
      </c>
      <c r="B1" s="729"/>
      <c r="C1" s="729"/>
      <c r="D1" s="729"/>
      <c r="E1" s="729"/>
      <c r="F1" s="729"/>
      <c r="G1" s="729"/>
      <c r="H1" s="729"/>
    </row>
    <row r="2" spans="1:25">
      <c r="A2" s="729" t="s">
        <v>19</v>
      </c>
      <c r="B2" s="729"/>
      <c r="C2" s="729"/>
      <c r="D2" s="729"/>
      <c r="E2" s="729"/>
      <c r="F2" s="729"/>
      <c r="G2" s="729"/>
      <c r="H2" s="729"/>
    </row>
    <row r="3" spans="1:25">
      <c r="A3" s="729" t="s">
        <v>1103</v>
      </c>
      <c r="B3" s="729"/>
      <c r="C3" s="729"/>
      <c r="D3" s="729"/>
      <c r="E3" s="729"/>
      <c r="F3" s="729"/>
      <c r="G3" s="729"/>
      <c r="H3" s="729"/>
    </row>
    <row r="4" spans="1:25" s="46" customFormat="1">
      <c r="E4" s="94"/>
      <c r="F4" s="94"/>
      <c r="G4" s="94"/>
      <c r="H4" s="126"/>
    </row>
    <row r="5" spans="1:25" ht="18.75" customHeight="1">
      <c r="A5" s="730" t="s">
        <v>238</v>
      </c>
      <c r="B5" s="730"/>
      <c r="C5" s="730"/>
      <c r="D5" s="730"/>
      <c r="E5" s="730"/>
      <c r="F5" s="730"/>
      <c r="G5" s="730"/>
      <c r="H5" s="730"/>
    </row>
    <row r="6" spans="1:25">
      <c r="A6" s="731" t="s">
        <v>139</v>
      </c>
      <c r="B6" s="852" t="s">
        <v>134</v>
      </c>
      <c r="C6" s="853"/>
      <c r="D6" s="854"/>
      <c r="E6" s="633" t="s">
        <v>171</v>
      </c>
      <c r="F6" s="633" t="s">
        <v>135</v>
      </c>
      <c r="G6" s="732" t="s">
        <v>138</v>
      </c>
      <c r="H6" s="732"/>
    </row>
    <row r="7" spans="1:25" ht="38.25">
      <c r="A7" s="731"/>
      <c r="B7" s="855"/>
      <c r="C7" s="856"/>
      <c r="D7" s="857"/>
      <c r="E7" s="732" t="s">
        <v>136</v>
      </c>
      <c r="F7" s="732"/>
      <c r="G7" s="633" t="s">
        <v>137</v>
      </c>
      <c r="H7" s="124" t="s">
        <v>170</v>
      </c>
    </row>
    <row r="8" spans="1:25">
      <c r="A8" s="755"/>
      <c r="B8" s="755"/>
      <c r="C8" s="755"/>
      <c r="D8" s="755"/>
      <c r="E8" s="755"/>
      <c r="F8" s="755"/>
      <c r="G8" s="755"/>
      <c r="H8" s="851"/>
    </row>
    <row r="9" spans="1:25" s="2" customFormat="1" ht="18.75" customHeight="1">
      <c r="A9" s="89" t="s">
        <v>172</v>
      </c>
      <c r="B9" s="849" t="s">
        <v>849</v>
      </c>
      <c r="C9" s="849"/>
      <c r="D9" s="850"/>
      <c r="E9" s="90">
        <f>SUM(E10,E16)+E18</f>
        <v>3766763</v>
      </c>
      <c r="F9" s="90">
        <f>SUM(F10,F16)+F18</f>
        <v>4249574</v>
      </c>
      <c r="G9" s="426">
        <f>SUM(G10,G16)+G18</f>
        <v>3172273</v>
      </c>
      <c r="H9" s="91">
        <f t="shared" ref="H9:H19" si="0">G9/F9*100</f>
        <v>74.649200131589666</v>
      </c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</row>
    <row r="10" spans="1:25" s="20" customFormat="1" ht="33" customHeight="1">
      <c r="A10" s="228"/>
      <c r="B10" s="861" t="s">
        <v>164</v>
      </c>
      <c r="C10" s="861"/>
      <c r="D10" s="861"/>
      <c r="E10" s="229">
        <f>SUM(E11:E15)</f>
        <v>842530</v>
      </c>
      <c r="F10" s="229">
        <f>SUM(F11:F15)</f>
        <v>1083231</v>
      </c>
      <c r="G10" s="424">
        <f>SUM(G11:G15)</f>
        <v>1052307</v>
      </c>
      <c r="H10" s="230">
        <f t="shared" si="0"/>
        <v>97.145207254962244</v>
      </c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</row>
    <row r="11" spans="1:25" ht="33" customHeight="1">
      <c r="A11" s="419"/>
      <c r="B11" s="858" t="s">
        <v>1156</v>
      </c>
      <c r="C11" s="858"/>
      <c r="D11" s="862"/>
      <c r="E11" s="420">
        <v>450000</v>
      </c>
      <c r="F11" s="420">
        <v>450000</v>
      </c>
      <c r="G11" s="425">
        <v>449997</v>
      </c>
      <c r="H11" s="231">
        <f t="shared" si="0"/>
        <v>99.999333333333325</v>
      </c>
    </row>
    <row r="12" spans="1:25" ht="33" customHeight="1">
      <c r="A12" s="419"/>
      <c r="B12" s="858" t="s">
        <v>1157</v>
      </c>
      <c r="C12" s="858"/>
      <c r="D12" s="862"/>
      <c r="E12" s="420">
        <v>110246</v>
      </c>
      <c r="F12" s="420">
        <v>110246</v>
      </c>
      <c r="G12" s="425">
        <v>110200</v>
      </c>
      <c r="H12" s="231">
        <f t="shared" si="0"/>
        <v>99.958275130163457</v>
      </c>
    </row>
    <row r="13" spans="1:25" ht="33" customHeight="1">
      <c r="A13" s="419"/>
      <c r="B13" s="858" t="s">
        <v>970</v>
      </c>
      <c r="C13" s="858"/>
      <c r="D13" s="862"/>
      <c r="E13" s="420">
        <v>250000</v>
      </c>
      <c r="F13" s="420">
        <v>492110</v>
      </c>
      <c r="G13" s="425">
        <v>492110</v>
      </c>
      <c r="H13" s="231">
        <f t="shared" si="0"/>
        <v>100</v>
      </c>
    </row>
    <row r="14" spans="1:25" ht="33" customHeight="1">
      <c r="A14" s="419"/>
      <c r="B14" s="858" t="s">
        <v>966</v>
      </c>
      <c r="C14" s="858"/>
      <c r="D14" s="862"/>
      <c r="E14" s="420">
        <v>4750</v>
      </c>
      <c r="F14" s="420">
        <v>3341</v>
      </c>
      <c r="G14" s="425">
        <v>0</v>
      </c>
      <c r="H14" s="231">
        <f t="shared" si="0"/>
        <v>0</v>
      </c>
    </row>
    <row r="15" spans="1:25" ht="33" customHeight="1">
      <c r="A15" s="419"/>
      <c r="B15" s="863" t="s">
        <v>1189</v>
      </c>
      <c r="C15" s="863"/>
      <c r="D15" s="864"/>
      <c r="E15" s="420">
        <v>27534</v>
      </c>
      <c r="F15" s="420">
        <v>27534</v>
      </c>
      <c r="G15" s="425">
        <v>0</v>
      </c>
      <c r="H15" s="231">
        <f t="shared" si="0"/>
        <v>0</v>
      </c>
    </row>
    <row r="16" spans="1:25" s="20" customFormat="1">
      <c r="A16" s="86" t="s">
        <v>173</v>
      </c>
      <c r="B16" s="859" t="s">
        <v>166</v>
      </c>
      <c r="C16" s="859"/>
      <c r="D16" s="860"/>
      <c r="E16" s="70">
        <f>SUM(E17:E17)</f>
        <v>2024233</v>
      </c>
      <c r="F16" s="70">
        <f>SUM(F17:F17)</f>
        <v>2024233</v>
      </c>
      <c r="G16" s="70">
        <f>SUM(G17:G17)</f>
        <v>1877856</v>
      </c>
      <c r="H16" s="316">
        <f t="shared" si="0"/>
        <v>92.768767231835469</v>
      </c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</row>
    <row r="17" spans="1:25" s="20" customFormat="1" ht="31.5" customHeight="1">
      <c r="A17" s="307"/>
      <c r="B17" s="858" t="s">
        <v>1192</v>
      </c>
      <c r="C17" s="858"/>
      <c r="D17" s="858"/>
      <c r="E17" s="470">
        <v>2024233</v>
      </c>
      <c r="F17" s="308">
        <v>2024233</v>
      </c>
      <c r="G17" s="308">
        <v>1877856</v>
      </c>
      <c r="H17" s="471">
        <f t="shared" si="0"/>
        <v>92.768767231835469</v>
      </c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</row>
    <row r="18" spans="1:25" ht="21.75" customHeight="1">
      <c r="A18" s="476" t="s">
        <v>174</v>
      </c>
      <c r="B18" s="859" t="s">
        <v>1006</v>
      </c>
      <c r="C18" s="859"/>
      <c r="D18" s="860"/>
      <c r="E18" s="276">
        <f>SUM(E19:E20)</f>
        <v>900000</v>
      </c>
      <c r="F18" s="276">
        <f t="shared" ref="F18:G18" si="1">SUM(F19:F20)</f>
        <v>1142110</v>
      </c>
      <c r="G18" s="276">
        <f t="shared" si="1"/>
        <v>242110</v>
      </c>
      <c r="H18" s="118">
        <f t="shared" si="0"/>
        <v>21.198483508593743</v>
      </c>
    </row>
    <row r="19" spans="1:25" ht="21.75" customHeight="1">
      <c r="A19" s="571"/>
      <c r="B19" s="858" t="s">
        <v>1167</v>
      </c>
      <c r="C19" s="858"/>
      <c r="D19" s="858"/>
      <c r="E19" s="573">
        <v>900000</v>
      </c>
      <c r="F19" s="575">
        <v>900000</v>
      </c>
      <c r="G19" s="573">
        <v>0</v>
      </c>
      <c r="H19" s="576">
        <f t="shared" si="0"/>
        <v>0</v>
      </c>
    </row>
    <row r="20" spans="1:25" ht="21.75" customHeight="1">
      <c r="A20" s="572"/>
      <c r="B20" s="848" t="s">
        <v>953</v>
      </c>
      <c r="C20" s="848"/>
      <c r="D20" s="848"/>
      <c r="E20" s="574">
        <v>0</v>
      </c>
      <c r="F20" s="717">
        <v>242110</v>
      </c>
      <c r="G20" s="717">
        <v>242110</v>
      </c>
      <c r="H20" s="726">
        <f>G20/F20*100</f>
        <v>100</v>
      </c>
    </row>
    <row r="21" spans="1:25" s="158" customFormat="1" ht="29.25" customHeight="1">
      <c r="A21" s="737" t="s">
        <v>182</v>
      </c>
      <c r="B21" s="737"/>
      <c r="C21" s="737"/>
      <c r="D21" s="737"/>
      <c r="E21" s="190">
        <f>E9</f>
        <v>3766763</v>
      </c>
      <c r="F21" s="190">
        <f>F9</f>
        <v>4249574</v>
      </c>
      <c r="G21" s="190">
        <f>G9</f>
        <v>3172273</v>
      </c>
      <c r="H21" s="191">
        <f>G21/F21*100</f>
        <v>74.649200131589666</v>
      </c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</row>
    <row r="22" spans="1:25" s="46" customFormat="1">
      <c r="C22" s="125"/>
      <c r="D22" s="125"/>
      <c r="E22" s="94"/>
      <c r="F22" s="94"/>
      <c r="G22" s="94"/>
      <c r="H22" s="126"/>
    </row>
    <row r="23" spans="1:25" s="46" customFormat="1">
      <c r="C23" s="125"/>
      <c r="D23" s="125"/>
      <c r="E23" s="94"/>
      <c r="F23" s="94"/>
      <c r="G23" s="94"/>
      <c r="H23" s="126"/>
    </row>
    <row r="24" spans="1:25" s="46" customFormat="1">
      <c r="C24" s="125"/>
      <c r="D24" s="125"/>
      <c r="E24" s="94"/>
      <c r="F24" s="94"/>
      <c r="G24" s="94"/>
      <c r="H24" s="126"/>
    </row>
    <row r="25" spans="1:25" s="46" customFormat="1">
      <c r="C25" s="125"/>
      <c r="D25" s="125"/>
      <c r="E25" s="94"/>
      <c r="F25" s="94"/>
      <c r="G25" s="94"/>
      <c r="H25" s="126"/>
    </row>
    <row r="26" spans="1:25" s="46" customFormat="1">
      <c r="C26" s="125"/>
      <c r="D26" s="125"/>
      <c r="E26" s="94"/>
      <c r="F26" s="94"/>
      <c r="G26" s="94"/>
      <c r="H26" s="126"/>
    </row>
    <row r="27" spans="1:25" s="46" customFormat="1">
      <c r="E27" s="94"/>
      <c r="F27" s="94"/>
      <c r="G27" s="94"/>
      <c r="H27" s="126"/>
    </row>
    <row r="28" spans="1:25" s="46" customFormat="1">
      <c r="E28" s="94"/>
      <c r="F28" s="94"/>
      <c r="G28" s="94"/>
      <c r="H28" s="126"/>
    </row>
    <row r="29" spans="1:25" s="46" customFormat="1">
      <c r="E29" s="94"/>
      <c r="F29" s="94"/>
      <c r="G29" s="94"/>
      <c r="H29" s="126"/>
    </row>
    <row r="30" spans="1:25" s="46" customFormat="1">
      <c r="E30" s="94"/>
      <c r="F30" s="94"/>
      <c r="G30" s="94"/>
      <c r="H30" s="126"/>
    </row>
    <row r="31" spans="1:25" s="46" customFormat="1">
      <c r="E31" s="94"/>
      <c r="F31" s="94"/>
      <c r="G31" s="94"/>
      <c r="H31" s="126"/>
    </row>
    <row r="32" spans="1:25" s="46" customFormat="1">
      <c r="E32" s="94"/>
      <c r="F32" s="94"/>
      <c r="G32" s="94"/>
      <c r="H32" s="126"/>
    </row>
    <row r="33" spans="5:8" s="46" customFormat="1">
      <c r="E33" s="94"/>
      <c r="F33" s="94"/>
      <c r="G33" s="94"/>
      <c r="H33" s="126"/>
    </row>
    <row r="34" spans="5:8" s="46" customFormat="1">
      <c r="E34" s="94"/>
      <c r="F34" s="94"/>
      <c r="G34" s="94"/>
      <c r="H34" s="126"/>
    </row>
    <row r="35" spans="5:8" s="46" customFormat="1">
      <c r="E35" s="94"/>
      <c r="F35" s="94"/>
      <c r="G35" s="94"/>
      <c r="H35" s="126"/>
    </row>
    <row r="36" spans="5:8" s="46" customFormat="1">
      <c r="E36" s="94"/>
      <c r="F36" s="94"/>
      <c r="G36" s="94"/>
      <c r="H36" s="126"/>
    </row>
    <row r="37" spans="5:8" s="46" customFormat="1">
      <c r="E37" s="94"/>
      <c r="F37" s="94"/>
      <c r="G37" s="94"/>
      <c r="H37" s="126"/>
    </row>
    <row r="38" spans="5:8" s="46" customFormat="1">
      <c r="E38" s="94"/>
      <c r="F38" s="94"/>
      <c r="G38" s="94"/>
      <c r="H38" s="126"/>
    </row>
    <row r="39" spans="5:8" s="46" customFormat="1">
      <c r="E39" s="94"/>
      <c r="F39" s="94"/>
      <c r="G39" s="94"/>
      <c r="H39" s="126"/>
    </row>
    <row r="40" spans="5:8" s="46" customFormat="1">
      <c r="E40" s="94"/>
      <c r="F40" s="94"/>
      <c r="G40" s="94"/>
      <c r="H40" s="126"/>
    </row>
    <row r="41" spans="5:8" s="46" customFormat="1">
      <c r="E41" s="94"/>
      <c r="F41" s="94"/>
      <c r="G41" s="94"/>
      <c r="H41" s="126"/>
    </row>
    <row r="42" spans="5:8" s="46" customFormat="1">
      <c r="E42" s="94"/>
      <c r="F42" s="94"/>
      <c r="G42" s="94"/>
      <c r="H42" s="126"/>
    </row>
    <row r="43" spans="5:8" s="46" customFormat="1">
      <c r="E43" s="94"/>
      <c r="F43" s="94"/>
      <c r="G43" s="94"/>
      <c r="H43" s="126"/>
    </row>
    <row r="44" spans="5:8" s="46" customFormat="1">
      <c r="E44" s="94"/>
      <c r="F44" s="94"/>
      <c r="G44" s="94"/>
      <c r="H44" s="126"/>
    </row>
    <row r="45" spans="5:8" s="46" customFormat="1">
      <c r="E45" s="94"/>
      <c r="F45" s="94"/>
      <c r="G45" s="94"/>
      <c r="H45" s="126"/>
    </row>
    <row r="46" spans="5:8" s="46" customFormat="1">
      <c r="E46" s="94"/>
      <c r="F46" s="94"/>
      <c r="G46" s="94"/>
      <c r="H46" s="126"/>
    </row>
    <row r="47" spans="5:8" s="46" customFormat="1">
      <c r="E47" s="94"/>
      <c r="F47" s="94"/>
      <c r="G47" s="94"/>
      <c r="H47" s="126"/>
    </row>
    <row r="48" spans="5:8" s="46" customFormat="1">
      <c r="E48" s="94"/>
      <c r="F48" s="94"/>
      <c r="G48" s="94"/>
      <c r="H48" s="126"/>
    </row>
    <row r="49" spans="5:8" s="46" customFormat="1">
      <c r="E49" s="94"/>
      <c r="F49" s="94"/>
      <c r="G49" s="94"/>
      <c r="H49" s="126"/>
    </row>
    <row r="50" spans="5:8" s="46" customFormat="1">
      <c r="E50" s="94"/>
      <c r="F50" s="94"/>
      <c r="G50" s="94"/>
      <c r="H50" s="126"/>
    </row>
    <row r="51" spans="5:8" s="46" customFormat="1">
      <c r="E51" s="94"/>
      <c r="F51" s="94"/>
      <c r="G51" s="94"/>
      <c r="H51" s="126"/>
    </row>
  </sheetData>
  <mergeCells count="22">
    <mergeCell ref="B13:D13"/>
    <mergeCell ref="B18:D18"/>
    <mergeCell ref="B15:D15"/>
    <mergeCell ref="B14:D14"/>
    <mergeCell ref="B12:D12"/>
    <mergeCell ref="B17:D17"/>
    <mergeCell ref="B20:D20"/>
    <mergeCell ref="A21:D21"/>
    <mergeCell ref="A1:H1"/>
    <mergeCell ref="A2:H2"/>
    <mergeCell ref="A3:H3"/>
    <mergeCell ref="A6:A7"/>
    <mergeCell ref="G6:H6"/>
    <mergeCell ref="B9:D9"/>
    <mergeCell ref="A8:H8"/>
    <mergeCell ref="E7:F7"/>
    <mergeCell ref="A5:H5"/>
    <mergeCell ref="B6:D7"/>
    <mergeCell ref="B19:D19"/>
    <mergeCell ref="B16:D16"/>
    <mergeCell ref="B10:D10"/>
    <mergeCell ref="B11:D1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Header>&amp;R5. számú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>
    <tabColor theme="4" tint="0.59999389629810485"/>
  </sheetPr>
  <dimension ref="A1:AD3987"/>
  <sheetViews>
    <sheetView zoomScaleSheetLayoutView="80" workbookViewId="0">
      <pane ySplit="7" topLeftCell="A208" activePane="bottomLeft" state="frozen"/>
      <selection activeCell="A26" sqref="A26:B26"/>
      <selection pane="bottomLeft" activeCell="D200" sqref="D200"/>
    </sheetView>
  </sheetViews>
  <sheetFormatPr defaultRowHeight="12.75"/>
  <cols>
    <col min="1" max="1" width="5.42578125" style="10" customWidth="1"/>
    <col min="2" max="2" width="105.42578125" style="10" customWidth="1"/>
    <col min="3" max="3" width="14.85546875" style="127" customWidth="1"/>
    <col min="4" max="4" width="14.140625" style="127" customWidth="1"/>
    <col min="5" max="5" width="10.85546875" style="84" hidden="1" customWidth="1"/>
    <col min="6" max="6" width="11.7109375" style="354" hidden="1" customWidth="1"/>
    <col min="7" max="8" width="10.140625" style="354" hidden="1" customWidth="1"/>
    <col min="9" max="29" width="9.140625" style="46" customWidth="1"/>
  </cols>
  <sheetData>
    <row r="1" spans="1:30" ht="12" customHeight="1">
      <c r="A1" s="866" t="s">
        <v>1041</v>
      </c>
      <c r="B1" s="867"/>
      <c r="C1" s="867"/>
      <c r="D1" s="867"/>
    </row>
    <row r="2" spans="1:30" ht="12" customHeight="1">
      <c r="A2" s="866" t="s">
        <v>1093</v>
      </c>
      <c r="B2" s="867"/>
      <c r="C2" s="867"/>
      <c r="D2" s="867"/>
    </row>
    <row r="3" spans="1:30" s="46" customFormat="1">
      <c r="A3" s="57"/>
      <c r="B3" s="247"/>
      <c r="C3" s="390"/>
      <c r="D3" s="390"/>
      <c r="E3" s="84"/>
      <c r="F3" s="354"/>
      <c r="G3" s="354"/>
      <c r="H3" s="354"/>
    </row>
    <row r="4" spans="1:30" s="46" customFormat="1">
      <c r="A4" s="57"/>
      <c r="B4" s="247"/>
      <c r="C4" s="390"/>
      <c r="D4" s="390"/>
      <c r="E4" s="84"/>
      <c r="F4" s="354"/>
      <c r="G4" s="354"/>
      <c r="H4" s="354"/>
    </row>
    <row r="5" spans="1:30">
      <c r="A5" s="754" t="s">
        <v>238</v>
      </c>
      <c r="B5" s="754"/>
      <c r="C5" s="754"/>
      <c r="D5" s="754"/>
      <c r="F5" s="84"/>
      <c r="G5" s="84"/>
      <c r="H5" s="84"/>
    </row>
    <row r="6" spans="1:30" s="20" customFormat="1" ht="15" customHeight="1">
      <c r="A6" s="865" t="s">
        <v>2</v>
      </c>
      <c r="B6" s="865"/>
      <c r="C6" s="865"/>
      <c r="D6" s="865"/>
      <c r="E6" s="449"/>
      <c r="F6" s="361"/>
      <c r="G6" s="361"/>
      <c r="H6" s="361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</row>
    <row r="7" spans="1:30" s="193" customFormat="1" ht="25.5">
      <c r="A7" s="404" t="s">
        <v>139</v>
      </c>
      <c r="B7" s="374" t="s">
        <v>134</v>
      </c>
      <c r="C7" s="405" t="s">
        <v>232</v>
      </c>
      <c r="D7" s="405" t="s">
        <v>233</v>
      </c>
      <c r="E7" s="450"/>
      <c r="F7" s="363"/>
      <c r="G7" s="363"/>
      <c r="H7" s="363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</row>
    <row r="8" spans="1:30" ht="15" customHeight="1">
      <c r="A8" s="353" t="s">
        <v>260</v>
      </c>
      <c r="B8" s="249" t="s">
        <v>585</v>
      </c>
      <c r="C8" s="250">
        <v>1693660</v>
      </c>
      <c r="D8" s="250">
        <v>1240860</v>
      </c>
      <c r="Z8" s="354"/>
      <c r="AA8" s="354"/>
      <c r="AB8" s="354"/>
      <c r="AC8" s="354"/>
      <c r="AD8" s="352"/>
    </row>
    <row r="9" spans="1:30" ht="15" customHeight="1">
      <c r="A9" s="353" t="s">
        <v>261</v>
      </c>
      <c r="B9" s="249" t="s">
        <v>586</v>
      </c>
      <c r="C9" s="250"/>
      <c r="D9" s="250"/>
      <c r="Z9" s="354"/>
      <c r="AA9" s="354"/>
      <c r="AB9" s="354"/>
      <c r="AC9" s="354"/>
      <c r="AD9" s="352"/>
    </row>
    <row r="10" spans="1:30" ht="15" customHeight="1">
      <c r="A10" s="353" t="s">
        <v>262</v>
      </c>
      <c r="B10" s="249" t="s">
        <v>587</v>
      </c>
      <c r="C10" s="250"/>
      <c r="D10" s="250"/>
      <c r="Z10" s="354"/>
      <c r="AA10" s="354"/>
      <c r="AB10" s="354"/>
      <c r="AC10" s="354"/>
      <c r="AD10" s="352"/>
    </row>
    <row r="11" spans="1:30" ht="15" customHeight="1">
      <c r="A11" s="372" t="s">
        <v>263</v>
      </c>
      <c r="B11" s="373" t="s">
        <v>588</v>
      </c>
      <c r="C11" s="391">
        <f>SUM(C8:C10)</f>
        <v>1693660</v>
      </c>
      <c r="D11" s="391">
        <f>SUM(D8:D10)</f>
        <v>1240860</v>
      </c>
      <c r="U11" s="354"/>
      <c r="V11" s="354"/>
      <c r="W11" s="354"/>
      <c r="X11" s="354"/>
      <c r="Y11" s="354"/>
      <c r="Z11" s="354"/>
      <c r="AA11" s="354"/>
      <c r="AB11" s="354"/>
      <c r="AC11" s="354"/>
      <c r="AD11" s="352"/>
    </row>
    <row r="12" spans="1:30" ht="15" customHeight="1">
      <c r="A12" s="353" t="s">
        <v>264</v>
      </c>
      <c r="B12" s="249" t="s">
        <v>589</v>
      </c>
      <c r="C12" s="250">
        <v>129957285</v>
      </c>
      <c r="D12" s="250">
        <f>1478330+127194562</f>
        <v>128672892</v>
      </c>
      <c r="F12" s="354">
        <v>9293043</v>
      </c>
      <c r="Z12" s="354"/>
      <c r="AA12" s="354"/>
      <c r="AB12" s="354"/>
      <c r="AC12" s="354"/>
      <c r="AD12" s="352"/>
    </row>
    <row r="13" spans="1:30" ht="15" customHeight="1">
      <c r="A13" s="353" t="s">
        <v>265</v>
      </c>
      <c r="B13" s="249" t="s">
        <v>590</v>
      </c>
      <c r="C13" s="250">
        <v>4634988</v>
      </c>
      <c r="D13" s="250">
        <f>241390+1071062+1495887</f>
        <v>2808339</v>
      </c>
      <c r="E13" s="84">
        <v>598047</v>
      </c>
      <c r="F13" s="354">
        <v>0</v>
      </c>
      <c r="G13" s="354">
        <v>147847</v>
      </c>
      <c r="H13" s="354">
        <v>62031</v>
      </c>
      <c r="Z13" s="354"/>
      <c r="AA13" s="354"/>
      <c r="AB13" s="354"/>
      <c r="AC13" s="354"/>
      <c r="AD13" s="352"/>
    </row>
    <row r="14" spans="1:30" s="2" customFormat="1" ht="15" customHeight="1">
      <c r="A14" s="353" t="s">
        <v>266</v>
      </c>
      <c r="B14" s="249" t="s">
        <v>591</v>
      </c>
      <c r="C14" s="250"/>
      <c r="D14" s="250"/>
      <c r="E14" s="451"/>
      <c r="F14" s="355"/>
      <c r="G14" s="355"/>
      <c r="H14" s="355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355"/>
      <c r="AA14" s="355"/>
      <c r="AB14" s="355"/>
      <c r="AC14" s="355"/>
      <c r="AD14" s="356"/>
    </row>
    <row r="15" spans="1:30" ht="15" customHeight="1">
      <c r="A15" s="353" t="s">
        <v>267</v>
      </c>
      <c r="B15" s="249" t="s">
        <v>592</v>
      </c>
      <c r="C15" s="250">
        <v>324880</v>
      </c>
      <c r="D15" s="250">
        <v>0</v>
      </c>
      <c r="G15" s="354">
        <v>229500</v>
      </c>
      <c r="Z15" s="354"/>
      <c r="AA15" s="354"/>
      <c r="AB15" s="354"/>
      <c r="AC15" s="354"/>
      <c r="AD15" s="352"/>
    </row>
    <row r="16" spans="1:30" ht="15" customHeight="1">
      <c r="A16" s="353" t="s">
        <v>268</v>
      </c>
      <c r="B16" s="249" t="s">
        <v>593</v>
      </c>
      <c r="C16" s="250"/>
      <c r="D16" s="250"/>
      <c r="Z16" s="354"/>
      <c r="AA16" s="354"/>
      <c r="AB16" s="354"/>
      <c r="AC16" s="354"/>
      <c r="AD16" s="352"/>
    </row>
    <row r="17" spans="1:30" s="4" customFormat="1" ht="15" customHeight="1">
      <c r="A17" s="372" t="s">
        <v>269</v>
      </c>
      <c r="B17" s="373" t="s">
        <v>594</v>
      </c>
      <c r="C17" s="391">
        <f>SUM(C12:C16)</f>
        <v>134917153</v>
      </c>
      <c r="D17" s="391">
        <f>SUM(D12:D16)</f>
        <v>131481231</v>
      </c>
      <c r="E17" s="452"/>
      <c r="F17" s="357"/>
      <c r="G17" s="357"/>
      <c r="H17" s="357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357"/>
      <c r="V17" s="357"/>
      <c r="W17" s="357"/>
      <c r="X17" s="357"/>
      <c r="Y17" s="357"/>
      <c r="Z17" s="357"/>
      <c r="AA17" s="357"/>
      <c r="AB17" s="357"/>
      <c r="AC17" s="357"/>
      <c r="AD17" s="358"/>
    </row>
    <row r="18" spans="1:30" s="4" customFormat="1" ht="15" customHeight="1">
      <c r="A18" s="353" t="s">
        <v>270</v>
      </c>
      <c r="B18" s="249" t="s">
        <v>595</v>
      </c>
      <c r="C18" s="250"/>
      <c r="D18" s="250"/>
      <c r="E18" s="452"/>
      <c r="F18" s="357"/>
      <c r="G18" s="357"/>
      <c r="H18" s="357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357"/>
      <c r="V18" s="357"/>
      <c r="W18" s="357"/>
      <c r="X18" s="357"/>
      <c r="Y18" s="357"/>
      <c r="Z18" s="357"/>
      <c r="AA18" s="357"/>
      <c r="AB18" s="357"/>
      <c r="AC18" s="357"/>
      <c r="AD18" s="358"/>
    </row>
    <row r="19" spans="1:30" s="4" customFormat="1" ht="15" customHeight="1">
      <c r="A19" s="353" t="s">
        <v>271</v>
      </c>
      <c r="B19" s="249" t="s">
        <v>596</v>
      </c>
      <c r="C19" s="250"/>
      <c r="D19" s="250"/>
      <c r="E19" s="452"/>
      <c r="F19" s="357"/>
      <c r="G19" s="357"/>
      <c r="H19" s="357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357"/>
      <c r="AA19" s="357"/>
      <c r="AB19" s="357"/>
      <c r="AC19" s="357"/>
      <c r="AD19" s="358"/>
    </row>
    <row r="20" spans="1:30" s="4" customFormat="1" ht="25.5" customHeight="1">
      <c r="A20" s="353" t="s">
        <v>272</v>
      </c>
      <c r="B20" s="249" t="s">
        <v>597</v>
      </c>
      <c r="C20" s="250"/>
      <c r="D20" s="250"/>
      <c r="E20" s="452"/>
      <c r="F20" s="357"/>
      <c r="G20" s="357"/>
      <c r="H20" s="357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357"/>
      <c r="AA20" s="357"/>
      <c r="AB20" s="357"/>
      <c r="AC20" s="357"/>
      <c r="AD20" s="358"/>
    </row>
    <row r="21" spans="1:30" s="4" customFormat="1" ht="16.5" customHeight="1">
      <c r="A21" s="353" t="s">
        <v>273</v>
      </c>
      <c r="B21" s="249" t="s">
        <v>598</v>
      </c>
      <c r="C21" s="250"/>
      <c r="D21" s="250"/>
      <c r="E21" s="452"/>
      <c r="F21" s="357"/>
      <c r="G21" s="357"/>
      <c r="H21" s="357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357"/>
      <c r="AA21" s="357"/>
      <c r="AB21" s="357"/>
      <c r="AC21" s="357"/>
      <c r="AD21" s="358"/>
    </row>
    <row r="22" spans="1:30" s="4" customFormat="1" ht="16.5" customHeight="1">
      <c r="A22" s="353" t="s">
        <v>274</v>
      </c>
      <c r="B22" s="249" t="s">
        <v>599</v>
      </c>
      <c r="C22" s="250"/>
      <c r="D22" s="250"/>
      <c r="E22" s="452"/>
      <c r="F22" s="357"/>
      <c r="G22" s="357"/>
      <c r="H22" s="357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357"/>
      <c r="AA22" s="357"/>
      <c r="AB22" s="357"/>
      <c r="AC22" s="357"/>
      <c r="AD22" s="358"/>
    </row>
    <row r="23" spans="1:30" s="4" customFormat="1" ht="16.5" customHeight="1">
      <c r="A23" s="353" t="s">
        <v>275</v>
      </c>
      <c r="B23" s="249" t="s">
        <v>600</v>
      </c>
      <c r="C23" s="250"/>
      <c r="D23" s="250"/>
      <c r="E23" s="452"/>
      <c r="F23" s="357"/>
      <c r="G23" s="357"/>
      <c r="H23" s="357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357"/>
      <c r="AA23" s="357"/>
      <c r="AB23" s="357"/>
      <c r="AC23" s="357"/>
      <c r="AD23" s="358"/>
    </row>
    <row r="24" spans="1:30" ht="15" customHeight="1">
      <c r="A24" s="353" t="s">
        <v>276</v>
      </c>
      <c r="B24" s="249" t="s">
        <v>601</v>
      </c>
      <c r="C24" s="250"/>
      <c r="D24" s="250"/>
      <c r="Z24" s="354"/>
      <c r="AA24" s="354"/>
      <c r="AB24" s="354"/>
      <c r="AC24" s="354"/>
      <c r="AD24" s="352"/>
    </row>
    <row r="25" spans="1:30" ht="15" customHeight="1">
      <c r="A25" s="353" t="s">
        <v>277</v>
      </c>
      <c r="B25" s="249" t="s">
        <v>602</v>
      </c>
      <c r="C25" s="250"/>
      <c r="D25" s="250"/>
      <c r="Z25" s="354"/>
      <c r="AA25" s="354"/>
      <c r="AB25" s="354"/>
      <c r="AC25" s="354"/>
      <c r="AD25" s="352"/>
    </row>
    <row r="26" spans="1:30" ht="15" customHeight="1">
      <c r="A26" s="353" t="s">
        <v>278</v>
      </c>
      <c r="B26" s="249" t="s">
        <v>603</v>
      </c>
      <c r="C26" s="250"/>
      <c r="D26" s="250"/>
      <c r="Z26" s="354"/>
      <c r="AA26" s="354"/>
      <c r="AB26" s="354"/>
      <c r="AC26" s="354"/>
      <c r="AD26" s="352"/>
    </row>
    <row r="27" spans="1:30" ht="15" customHeight="1">
      <c r="A27" s="353" t="s">
        <v>279</v>
      </c>
      <c r="B27" s="249" t="s">
        <v>604</v>
      </c>
      <c r="C27" s="250"/>
      <c r="D27" s="250"/>
      <c r="Z27" s="354"/>
      <c r="AA27" s="354"/>
      <c r="AB27" s="354"/>
      <c r="AC27" s="354"/>
      <c r="AD27" s="352"/>
    </row>
    <row r="28" spans="1:30" ht="15" customHeight="1">
      <c r="A28" s="372" t="s">
        <v>280</v>
      </c>
      <c r="B28" s="373" t="s">
        <v>605</v>
      </c>
      <c r="C28" s="391">
        <f>SUM(C18:C27)</f>
        <v>0</v>
      </c>
      <c r="D28" s="391">
        <f>SUM(D18:D27)</f>
        <v>0</v>
      </c>
      <c r="U28" s="354"/>
      <c r="V28" s="354"/>
      <c r="W28" s="354"/>
      <c r="X28" s="354"/>
      <c r="Y28" s="354"/>
      <c r="Z28" s="354"/>
      <c r="AA28" s="354"/>
      <c r="AB28" s="354"/>
      <c r="AC28" s="354"/>
      <c r="AD28" s="352"/>
    </row>
    <row r="29" spans="1:30" ht="15" customHeight="1">
      <c r="A29" s="353" t="s">
        <v>281</v>
      </c>
      <c r="B29" s="249" t="s">
        <v>606</v>
      </c>
      <c r="C29" s="250"/>
      <c r="D29" s="250"/>
      <c r="U29" s="354"/>
      <c r="V29" s="354"/>
      <c r="W29" s="354"/>
      <c r="X29" s="354"/>
      <c r="Y29" s="354"/>
      <c r="Z29" s="354"/>
      <c r="AA29" s="354"/>
      <c r="AB29" s="354"/>
      <c r="AC29" s="354"/>
      <c r="AD29" s="352"/>
    </row>
    <row r="30" spans="1:30" ht="15" customHeight="1">
      <c r="A30" s="353" t="s">
        <v>282</v>
      </c>
      <c r="B30" s="249" t="s">
        <v>607</v>
      </c>
      <c r="C30" s="250"/>
      <c r="D30" s="250"/>
      <c r="Z30" s="354"/>
      <c r="AA30" s="354"/>
      <c r="AB30" s="354"/>
      <c r="AC30" s="354"/>
      <c r="AD30" s="352"/>
    </row>
    <row r="31" spans="1:30" s="2" customFormat="1" ht="15" customHeight="1">
      <c r="A31" s="353" t="s">
        <v>283</v>
      </c>
      <c r="B31" s="249" t="s">
        <v>608</v>
      </c>
      <c r="C31" s="250"/>
      <c r="D31" s="250"/>
      <c r="E31" s="451"/>
      <c r="F31" s="355"/>
      <c r="G31" s="355"/>
      <c r="H31" s="355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355"/>
      <c r="AA31" s="355"/>
      <c r="AB31" s="355"/>
      <c r="AC31" s="355"/>
      <c r="AD31" s="356"/>
    </row>
    <row r="32" spans="1:30" ht="15" customHeight="1">
      <c r="A32" s="353" t="s">
        <v>284</v>
      </c>
      <c r="B32" s="249" t="s">
        <v>609</v>
      </c>
      <c r="C32" s="250"/>
      <c r="D32" s="250"/>
      <c r="Z32" s="354"/>
      <c r="AA32" s="354"/>
      <c r="AB32" s="354"/>
      <c r="AC32" s="354"/>
      <c r="AD32" s="352"/>
    </row>
    <row r="33" spans="1:30" ht="15" customHeight="1">
      <c r="A33" s="353" t="s">
        <v>285</v>
      </c>
      <c r="B33" s="249" t="s">
        <v>610</v>
      </c>
      <c r="C33" s="250"/>
      <c r="D33" s="250"/>
      <c r="Z33" s="354"/>
      <c r="AA33" s="354"/>
      <c r="AB33" s="354"/>
      <c r="AC33" s="354"/>
      <c r="AD33" s="352"/>
    </row>
    <row r="34" spans="1:30" ht="15" customHeight="1">
      <c r="A34" s="372" t="s">
        <v>286</v>
      </c>
      <c r="B34" s="373" t="s">
        <v>611</v>
      </c>
      <c r="C34" s="391">
        <f>SUM(C29:C33)</f>
        <v>0</v>
      </c>
      <c r="D34" s="391">
        <f>SUM(D29:D33)</f>
        <v>0</v>
      </c>
      <c r="U34" s="354"/>
      <c r="V34" s="354"/>
      <c r="W34" s="354"/>
      <c r="X34" s="354"/>
      <c r="Y34" s="354"/>
      <c r="Z34" s="354"/>
      <c r="AA34" s="354"/>
      <c r="AB34" s="354"/>
      <c r="AC34" s="354"/>
      <c r="AD34" s="352"/>
    </row>
    <row r="35" spans="1:30" ht="25.5" customHeight="1">
      <c r="A35" s="374" t="s">
        <v>287</v>
      </c>
      <c r="B35" s="375" t="s">
        <v>612</v>
      </c>
      <c r="C35" s="392">
        <f>SUM(C17,C11,C28,C34)</f>
        <v>136610813</v>
      </c>
      <c r="D35" s="392">
        <f>SUM(D17,D11,D28,D34)</f>
        <v>132722091</v>
      </c>
      <c r="U35" s="354"/>
      <c r="V35" s="354"/>
      <c r="W35" s="354"/>
      <c r="X35" s="354"/>
      <c r="Y35" s="354"/>
      <c r="Z35" s="354"/>
      <c r="AA35" s="354"/>
      <c r="AB35" s="354"/>
      <c r="AC35" s="354"/>
      <c r="AD35" s="352"/>
    </row>
    <row r="36" spans="1:30" ht="15" customHeight="1">
      <c r="A36" s="248" t="s">
        <v>288</v>
      </c>
      <c r="B36" s="249" t="s">
        <v>613</v>
      </c>
      <c r="C36" s="250">
        <v>1715346</v>
      </c>
      <c r="D36" s="250">
        <f>478115+236218+357538</f>
        <v>1071871</v>
      </c>
      <c r="E36" s="84">
        <v>156235</v>
      </c>
      <c r="F36" s="354">
        <v>0</v>
      </c>
      <c r="G36" s="354">
        <v>335991</v>
      </c>
      <c r="H36" s="354">
        <v>163795</v>
      </c>
      <c r="Z36" s="354"/>
      <c r="AA36" s="354"/>
      <c r="AB36" s="354"/>
      <c r="AC36" s="354"/>
      <c r="AD36" s="352"/>
    </row>
    <row r="37" spans="1:30" ht="15" customHeight="1">
      <c r="A37" s="248" t="s">
        <v>289</v>
      </c>
      <c r="B37" s="249" t="s">
        <v>614</v>
      </c>
      <c r="C37" s="250"/>
      <c r="D37" s="250"/>
      <c r="Z37" s="354"/>
      <c r="AA37" s="354"/>
      <c r="AB37" s="354"/>
      <c r="AC37" s="354"/>
      <c r="AD37" s="352"/>
    </row>
    <row r="38" spans="1:30" s="2" customFormat="1" ht="15" customHeight="1">
      <c r="A38" s="248" t="s">
        <v>290</v>
      </c>
      <c r="B38" s="249" t="s">
        <v>615</v>
      </c>
      <c r="C38" s="250"/>
      <c r="D38" s="250"/>
      <c r="E38" s="451"/>
      <c r="F38" s="355"/>
      <c r="G38" s="355"/>
      <c r="H38" s="355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355"/>
      <c r="AA38" s="355"/>
      <c r="AB38" s="355"/>
      <c r="AC38" s="355"/>
      <c r="AD38" s="356"/>
    </row>
    <row r="39" spans="1:30" s="2" customFormat="1" ht="15" customHeight="1">
      <c r="A39" s="248" t="s">
        <v>291</v>
      </c>
      <c r="B39" s="249" t="s">
        <v>616</v>
      </c>
      <c r="C39" s="250"/>
      <c r="D39" s="250"/>
      <c r="E39" s="451"/>
      <c r="F39" s="355"/>
      <c r="G39" s="355"/>
      <c r="H39" s="355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355"/>
      <c r="AA39" s="355"/>
      <c r="AB39" s="355"/>
      <c r="AC39" s="355"/>
      <c r="AD39" s="356"/>
    </row>
    <row r="40" spans="1:30" s="2" customFormat="1" ht="15" customHeight="1">
      <c r="A40" s="248" t="s">
        <v>292</v>
      </c>
      <c r="B40" s="249" t="s">
        <v>617</v>
      </c>
      <c r="C40" s="250"/>
      <c r="D40" s="250"/>
      <c r="E40" s="451"/>
      <c r="F40" s="355"/>
      <c r="G40" s="355"/>
      <c r="H40" s="355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355"/>
      <c r="AA40" s="355"/>
      <c r="AB40" s="355"/>
      <c r="AC40" s="355"/>
      <c r="AD40" s="356"/>
    </row>
    <row r="41" spans="1:30" s="2" customFormat="1" ht="17.25" customHeight="1">
      <c r="A41" s="371" t="s">
        <v>293</v>
      </c>
      <c r="B41" s="373" t="s">
        <v>618</v>
      </c>
      <c r="C41" s="391">
        <f>SUM(C36:C40)</f>
        <v>1715346</v>
      </c>
      <c r="D41" s="391">
        <f>SUM(D36:D40)</f>
        <v>1071871</v>
      </c>
      <c r="E41" s="451"/>
      <c r="F41" s="355"/>
      <c r="G41" s="355"/>
      <c r="H41" s="355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355"/>
      <c r="V41" s="355"/>
      <c r="W41" s="355"/>
      <c r="X41" s="355"/>
      <c r="Y41" s="355"/>
      <c r="Z41" s="355"/>
      <c r="AA41" s="355"/>
      <c r="AB41" s="355"/>
      <c r="AC41" s="355"/>
      <c r="AD41" s="356"/>
    </row>
    <row r="42" spans="1:30" s="2" customFormat="1" ht="15" customHeight="1">
      <c r="A42" s="248" t="s">
        <v>294</v>
      </c>
      <c r="B42" s="249" t="s">
        <v>619</v>
      </c>
      <c r="C42" s="250"/>
      <c r="D42" s="250"/>
      <c r="E42" s="451"/>
      <c r="F42" s="355"/>
      <c r="G42" s="355"/>
      <c r="H42" s="355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355"/>
      <c r="AA42" s="355"/>
      <c r="AB42" s="355"/>
      <c r="AC42" s="355"/>
      <c r="AD42" s="356"/>
    </row>
    <row r="43" spans="1:30" s="2" customFormat="1" ht="15" customHeight="1">
      <c r="A43" s="248" t="s">
        <v>295</v>
      </c>
      <c r="B43" s="249" t="s">
        <v>620</v>
      </c>
      <c r="C43" s="250"/>
      <c r="D43" s="250"/>
      <c r="E43" s="451"/>
      <c r="F43" s="355"/>
      <c r="G43" s="355"/>
      <c r="H43" s="355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355"/>
      <c r="AA43" s="355"/>
      <c r="AB43" s="355"/>
      <c r="AC43" s="355"/>
      <c r="AD43" s="356"/>
    </row>
    <row r="44" spans="1:30" s="2" customFormat="1" ht="15" customHeight="1">
      <c r="A44" s="248" t="s">
        <v>296</v>
      </c>
      <c r="B44" s="249" t="s">
        <v>621</v>
      </c>
      <c r="C44" s="250"/>
      <c r="D44" s="250"/>
      <c r="E44" s="451"/>
      <c r="F44" s="355"/>
      <c r="G44" s="355"/>
      <c r="H44" s="355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355"/>
      <c r="AA44" s="355"/>
      <c r="AB44" s="355"/>
      <c r="AC44" s="355"/>
      <c r="AD44" s="356"/>
    </row>
    <row r="45" spans="1:30" s="174" customFormat="1" ht="15" customHeight="1">
      <c r="A45" s="248" t="s">
        <v>297</v>
      </c>
      <c r="B45" s="249" t="s">
        <v>622</v>
      </c>
      <c r="C45" s="250"/>
      <c r="D45" s="250"/>
      <c r="E45" s="453"/>
      <c r="F45" s="359"/>
      <c r="G45" s="359"/>
      <c r="H45" s="359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359"/>
      <c r="AA45" s="359"/>
      <c r="AB45" s="359"/>
      <c r="AC45" s="359"/>
      <c r="AD45" s="360"/>
    </row>
    <row r="46" spans="1:30" ht="15" customHeight="1">
      <c r="A46" s="248" t="s">
        <v>298</v>
      </c>
      <c r="B46" s="249" t="s">
        <v>623</v>
      </c>
      <c r="C46" s="250"/>
      <c r="D46" s="250"/>
      <c r="Z46" s="354"/>
      <c r="AA46" s="354"/>
      <c r="AB46" s="354"/>
      <c r="AC46" s="354"/>
      <c r="AD46" s="352"/>
    </row>
    <row r="47" spans="1:30" ht="15" customHeight="1">
      <c r="A47" s="248" t="s">
        <v>299</v>
      </c>
      <c r="B47" s="249" t="s">
        <v>624</v>
      </c>
      <c r="C47" s="250"/>
      <c r="D47" s="250"/>
      <c r="Z47" s="354"/>
      <c r="AA47" s="354"/>
      <c r="AB47" s="354"/>
      <c r="AC47" s="354"/>
      <c r="AD47" s="352"/>
    </row>
    <row r="48" spans="1:30" ht="15" customHeight="1">
      <c r="A48" s="248" t="s">
        <v>300</v>
      </c>
      <c r="B48" s="249" t="s">
        <v>625</v>
      </c>
      <c r="C48" s="250"/>
      <c r="D48" s="250"/>
      <c r="Z48" s="354"/>
      <c r="AA48" s="354"/>
      <c r="AB48" s="354"/>
      <c r="AC48" s="354"/>
      <c r="AD48" s="352"/>
    </row>
    <row r="49" spans="1:30" ht="17.25" customHeight="1">
      <c r="A49" s="371" t="s">
        <v>301</v>
      </c>
      <c r="B49" s="373" t="s">
        <v>626</v>
      </c>
      <c r="C49" s="391">
        <f>SUM(C42:C48)</f>
        <v>0</v>
      </c>
      <c r="D49" s="391">
        <f>SUM(D42:D48)</f>
        <v>0</v>
      </c>
      <c r="U49" s="354"/>
      <c r="V49" s="354"/>
      <c r="W49" s="354"/>
      <c r="X49" s="354"/>
      <c r="Y49" s="354"/>
      <c r="Z49" s="354"/>
      <c r="AA49" s="354"/>
      <c r="AB49" s="354"/>
      <c r="AC49" s="354"/>
      <c r="AD49" s="352"/>
    </row>
    <row r="50" spans="1:30" ht="21" customHeight="1">
      <c r="A50" s="374" t="s">
        <v>302</v>
      </c>
      <c r="B50" s="375" t="s">
        <v>627</v>
      </c>
      <c r="C50" s="392">
        <f>SUM(C49,C41)</f>
        <v>1715346</v>
      </c>
      <c r="D50" s="392">
        <f>SUM(D49,D41)</f>
        <v>1071871</v>
      </c>
      <c r="U50" s="354"/>
      <c r="V50" s="354"/>
      <c r="W50" s="354"/>
      <c r="X50" s="354"/>
      <c r="Y50" s="354"/>
      <c r="Z50" s="354"/>
      <c r="AA50" s="354"/>
      <c r="AB50" s="354"/>
      <c r="AC50" s="354"/>
      <c r="AD50" s="352"/>
    </row>
    <row r="51" spans="1:30" ht="15" customHeight="1">
      <c r="A51" s="248" t="s">
        <v>303</v>
      </c>
      <c r="B51" s="249" t="s">
        <v>628</v>
      </c>
      <c r="C51" s="250"/>
      <c r="D51" s="250"/>
      <c r="Z51" s="354"/>
      <c r="AA51" s="354"/>
      <c r="AB51" s="354"/>
      <c r="AC51" s="354"/>
      <c r="AD51" s="352"/>
    </row>
    <row r="52" spans="1:30" s="2" customFormat="1" ht="15" customHeight="1">
      <c r="A52" s="248" t="s">
        <v>304</v>
      </c>
      <c r="B52" s="249" t="s">
        <v>629</v>
      </c>
      <c r="C52" s="250"/>
      <c r="D52" s="250"/>
      <c r="E52" s="451"/>
      <c r="F52" s="355"/>
      <c r="G52" s="355"/>
      <c r="H52" s="355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355"/>
      <c r="AA52" s="355"/>
      <c r="AB52" s="355"/>
      <c r="AC52" s="355"/>
      <c r="AD52" s="356"/>
    </row>
    <row r="53" spans="1:30" ht="15" customHeight="1">
      <c r="A53" s="248" t="s">
        <v>305</v>
      </c>
      <c r="B53" s="249" t="s">
        <v>630</v>
      </c>
      <c r="C53" s="250"/>
      <c r="D53" s="250"/>
    </row>
    <row r="54" spans="1:30" ht="15" customHeight="1">
      <c r="A54" s="248" t="s">
        <v>306</v>
      </c>
      <c r="B54" s="249" t="s">
        <v>631</v>
      </c>
      <c r="C54" s="250"/>
      <c r="D54" s="250"/>
    </row>
    <row r="55" spans="1:30" ht="15" customHeight="1">
      <c r="A55" s="371" t="s">
        <v>307</v>
      </c>
      <c r="B55" s="373" t="s">
        <v>632</v>
      </c>
      <c r="C55" s="391">
        <f>SUM(C51:C54)</f>
        <v>0</v>
      </c>
      <c r="D55" s="391">
        <f>SUM(D51:D54)</f>
        <v>0</v>
      </c>
      <c r="U55" s="354"/>
      <c r="V55" s="354"/>
      <c r="W55" s="354"/>
      <c r="X55" s="354"/>
      <c r="Y55" s="354"/>
      <c r="Z55" s="354"/>
      <c r="AA55" s="354"/>
      <c r="AB55" s="354"/>
      <c r="AC55" s="354"/>
      <c r="AD55" s="352"/>
    </row>
    <row r="56" spans="1:30" ht="15" customHeight="1">
      <c r="A56" s="248" t="s">
        <v>308</v>
      </c>
      <c r="B56" s="249" t="s">
        <v>633</v>
      </c>
      <c r="C56" s="250"/>
      <c r="D56" s="250"/>
      <c r="Z56" s="354"/>
      <c r="AA56" s="354"/>
      <c r="AB56" s="354"/>
      <c r="AC56" s="354"/>
      <c r="AD56" s="352"/>
    </row>
    <row r="57" spans="1:30" s="4" customFormat="1" ht="15" customHeight="1">
      <c r="A57" s="248" t="s">
        <v>309</v>
      </c>
      <c r="B57" s="249" t="s">
        <v>634</v>
      </c>
      <c r="C57" s="250"/>
      <c r="D57" s="250"/>
      <c r="E57" s="452"/>
      <c r="F57" s="357"/>
      <c r="G57" s="357"/>
      <c r="H57" s="357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357"/>
      <c r="AA57" s="357"/>
      <c r="AB57" s="357"/>
      <c r="AC57" s="357"/>
      <c r="AD57" s="358"/>
    </row>
    <row r="58" spans="1:30" s="2" customFormat="1" ht="15" customHeight="1">
      <c r="A58" s="248" t="s">
        <v>310</v>
      </c>
      <c r="B58" s="249" t="s">
        <v>635</v>
      </c>
      <c r="C58" s="250"/>
      <c r="D58" s="250"/>
      <c r="E58" s="451"/>
      <c r="F58" s="355"/>
      <c r="G58" s="355"/>
      <c r="H58" s="355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355"/>
      <c r="AA58" s="355"/>
      <c r="AB58" s="355"/>
      <c r="AC58" s="355"/>
      <c r="AD58" s="356"/>
    </row>
    <row r="59" spans="1:30" ht="15" customHeight="1">
      <c r="A59" s="371" t="s">
        <v>311</v>
      </c>
      <c r="B59" s="373" t="s">
        <v>636</v>
      </c>
      <c r="C59" s="391">
        <f>SUM(C56:C58)</f>
        <v>0</v>
      </c>
      <c r="D59" s="391">
        <f>SUM(D56:D58)</f>
        <v>0</v>
      </c>
      <c r="U59" s="354"/>
      <c r="V59" s="354"/>
      <c r="W59" s="354"/>
      <c r="X59" s="354"/>
      <c r="Y59" s="354"/>
      <c r="Z59" s="354"/>
      <c r="AA59" s="354"/>
      <c r="AB59" s="354"/>
      <c r="AC59" s="354"/>
      <c r="AD59" s="352"/>
    </row>
    <row r="60" spans="1:30" ht="15" customHeight="1">
      <c r="A60" s="248" t="s">
        <v>312</v>
      </c>
      <c r="B60" s="249" t="s">
        <v>637</v>
      </c>
      <c r="C60" s="250">
        <v>70029916</v>
      </c>
      <c r="D60" s="250">
        <f>15399239+17081172+23730272+13082737</f>
        <v>69293420</v>
      </c>
      <c r="E60" s="84">
        <v>8605216</v>
      </c>
      <c r="F60" s="354">
        <v>132644364</v>
      </c>
      <c r="G60" s="354">
        <v>19506520</v>
      </c>
      <c r="H60" s="354">
        <v>40512675</v>
      </c>
      <c r="Z60" s="354"/>
      <c r="AA60" s="354"/>
      <c r="AB60" s="354"/>
      <c r="AC60" s="354"/>
      <c r="AD60" s="352"/>
    </row>
    <row r="61" spans="1:30" s="2" customFormat="1" ht="15" customHeight="1">
      <c r="A61" s="248" t="s">
        <v>313</v>
      </c>
      <c r="B61" s="249" t="s">
        <v>638</v>
      </c>
      <c r="C61" s="250">
        <v>19683765</v>
      </c>
      <c r="D61" s="250">
        <f>3341+5291889</f>
        <v>5295230</v>
      </c>
      <c r="E61" s="451"/>
      <c r="F61" s="355"/>
      <c r="G61" s="355"/>
      <c r="H61" s="355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355"/>
      <c r="AA61" s="355"/>
      <c r="AB61" s="355"/>
      <c r="AC61" s="355"/>
      <c r="AD61" s="356"/>
    </row>
    <row r="62" spans="1:30" ht="15" customHeight="1">
      <c r="A62" s="371" t="s">
        <v>314</v>
      </c>
      <c r="B62" s="373" t="s">
        <v>639</v>
      </c>
      <c r="C62" s="391">
        <f>SUM(C60:C61)</f>
        <v>89713681</v>
      </c>
      <c r="D62" s="391">
        <f>SUM(D60:D61)</f>
        <v>74588650</v>
      </c>
      <c r="U62" s="354"/>
      <c r="V62" s="354"/>
      <c r="W62" s="354"/>
      <c r="X62" s="354"/>
      <c r="Y62" s="354"/>
      <c r="Z62" s="354"/>
      <c r="AA62" s="354"/>
      <c r="AB62" s="354"/>
      <c r="AC62" s="354"/>
      <c r="AD62" s="352"/>
    </row>
    <row r="63" spans="1:30" ht="15" customHeight="1">
      <c r="A63" s="248" t="s">
        <v>315</v>
      </c>
      <c r="B63" s="249" t="s">
        <v>640</v>
      </c>
      <c r="C63" s="250"/>
      <c r="D63" s="250"/>
      <c r="Z63" s="354"/>
      <c r="AA63" s="354"/>
      <c r="AB63" s="354"/>
      <c r="AC63" s="354"/>
      <c r="AD63" s="352"/>
    </row>
    <row r="64" spans="1:30" ht="15" customHeight="1">
      <c r="A64" s="248" t="s">
        <v>316</v>
      </c>
      <c r="B64" s="249" t="s">
        <v>641</v>
      </c>
      <c r="C64" s="250"/>
      <c r="D64" s="250"/>
      <c r="Z64" s="354"/>
      <c r="AA64" s="354"/>
      <c r="AB64" s="354"/>
      <c r="AC64" s="354"/>
      <c r="AD64" s="352"/>
    </row>
    <row r="65" spans="1:30" ht="15" customHeight="1">
      <c r="A65" s="371" t="s">
        <v>317</v>
      </c>
      <c r="B65" s="373" t="s">
        <v>642</v>
      </c>
      <c r="C65" s="391">
        <f>SUM(C63:C64)</f>
        <v>0</v>
      </c>
      <c r="D65" s="391">
        <f>SUM(D63:D64)</f>
        <v>0</v>
      </c>
      <c r="U65" s="354"/>
      <c r="V65" s="354"/>
      <c r="W65" s="354"/>
      <c r="X65" s="354"/>
      <c r="Y65" s="354"/>
      <c r="Z65" s="354"/>
      <c r="AA65" s="354"/>
      <c r="AB65" s="354"/>
      <c r="AC65" s="354"/>
      <c r="AD65" s="352"/>
    </row>
    <row r="66" spans="1:30" s="2" customFormat="1" ht="25.5" customHeight="1">
      <c r="A66" s="374" t="s">
        <v>318</v>
      </c>
      <c r="B66" s="375" t="s">
        <v>643</v>
      </c>
      <c r="C66" s="392">
        <f>SUM(C65,C62,C59,C55)</f>
        <v>89713681</v>
      </c>
      <c r="D66" s="392">
        <f>SUM(D65,D62,D59,D55)</f>
        <v>74588650</v>
      </c>
      <c r="E66" s="451"/>
      <c r="F66" s="355"/>
      <c r="G66" s="355"/>
      <c r="H66" s="355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355"/>
      <c r="V66" s="355"/>
      <c r="W66" s="355"/>
      <c r="X66" s="355"/>
      <c r="Y66" s="355"/>
      <c r="Z66" s="355"/>
      <c r="AA66" s="355"/>
      <c r="AB66" s="355"/>
      <c r="AC66" s="355"/>
      <c r="AD66" s="356"/>
    </row>
    <row r="67" spans="1:30" ht="16.5" customHeight="1">
      <c r="A67" s="248" t="s">
        <v>319</v>
      </c>
      <c r="B67" s="249" t="s">
        <v>644</v>
      </c>
      <c r="C67" s="250">
        <v>1841791</v>
      </c>
      <c r="D67" s="250">
        <v>0</v>
      </c>
      <c r="Z67" s="354"/>
      <c r="AA67" s="354"/>
      <c r="AB67" s="354"/>
      <c r="AC67" s="354"/>
      <c r="AD67" s="352"/>
    </row>
    <row r="68" spans="1:30" ht="28.5" customHeight="1">
      <c r="A68" s="248" t="s">
        <v>320</v>
      </c>
      <c r="B68" s="249" t="s">
        <v>645</v>
      </c>
      <c r="C68" s="250"/>
      <c r="D68" s="250"/>
      <c r="Z68" s="354"/>
      <c r="AA68" s="354"/>
      <c r="AB68" s="354"/>
      <c r="AC68" s="354"/>
      <c r="AD68" s="352"/>
    </row>
    <row r="69" spans="1:30" ht="25.5">
      <c r="A69" s="248" t="s">
        <v>321</v>
      </c>
      <c r="B69" s="249" t="s">
        <v>646</v>
      </c>
      <c r="C69" s="250">
        <v>92917</v>
      </c>
      <c r="D69" s="250">
        <v>0</v>
      </c>
      <c r="Z69" s="354"/>
      <c r="AA69" s="354"/>
      <c r="AB69" s="354"/>
      <c r="AC69" s="354"/>
      <c r="AD69" s="352"/>
    </row>
    <row r="70" spans="1:30" ht="25.5">
      <c r="A70" s="248" t="s">
        <v>322</v>
      </c>
      <c r="B70" s="249" t="s">
        <v>647</v>
      </c>
      <c r="C70" s="250"/>
      <c r="D70" s="250"/>
      <c r="Z70" s="354"/>
      <c r="AA70" s="354"/>
      <c r="AB70" s="354"/>
      <c r="AC70" s="354"/>
      <c r="AD70" s="352"/>
    </row>
    <row r="71" spans="1:30" s="2" customFormat="1" ht="15" customHeight="1">
      <c r="A71" s="248" t="s">
        <v>323</v>
      </c>
      <c r="B71" s="249" t="s">
        <v>648</v>
      </c>
      <c r="C71" s="250">
        <f>SUM(C72:C77)</f>
        <v>0</v>
      </c>
      <c r="D71" s="250">
        <f>SUM(D72:D77)</f>
        <v>0</v>
      </c>
      <c r="E71" s="451"/>
      <c r="F71" s="355"/>
      <c r="G71" s="355"/>
      <c r="H71" s="355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355"/>
      <c r="V71" s="355"/>
      <c r="W71" s="355"/>
      <c r="X71" s="355"/>
      <c r="Y71" s="355"/>
      <c r="Z71" s="355"/>
      <c r="AA71" s="355"/>
      <c r="AB71" s="355"/>
      <c r="AC71" s="355"/>
      <c r="AD71" s="356"/>
    </row>
    <row r="72" spans="1:30" s="174" customFormat="1" ht="15" customHeight="1">
      <c r="A72" s="248" t="s">
        <v>324</v>
      </c>
      <c r="B72" s="249" t="s">
        <v>649</v>
      </c>
      <c r="C72" s="250"/>
      <c r="D72" s="250"/>
      <c r="E72" s="453"/>
      <c r="F72" s="359"/>
      <c r="G72" s="359"/>
      <c r="H72" s="359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359"/>
      <c r="AA72" s="359"/>
      <c r="AB72" s="359"/>
      <c r="AC72" s="359"/>
      <c r="AD72" s="360"/>
    </row>
    <row r="73" spans="1:30" s="174" customFormat="1" ht="15" customHeight="1">
      <c r="A73" s="248" t="s">
        <v>325</v>
      </c>
      <c r="B73" s="249" t="s">
        <v>650</v>
      </c>
      <c r="C73" s="250"/>
      <c r="D73" s="250"/>
      <c r="E73" s="453"/>
      <c r="F73" s="359"/>
      <c r="G73" s="359"/>
      <c r="H73" s="359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359"/>
      <c r="AA73" s="359"/>
      <c r="AB73" s="359"/>
      <c r="AC73" s="359"/>
      <c r="AD73" s="360"/>
    </row>
    <row r="74" spans="1:30" s="46" customFormat="1" ht="15" customHeight="1">
      <c r="A74" s="248" t="s">
        <v>326</v>
      </c>
      <c r="B74" s="249" t="s">
        <v>651</v>
      </c>
      <c r="C74" s="250"/>
      <c r="D74" s="250"/>
      <c r="E74" s="84"/>
      <c r="F74" s="354"/>
      <c r="G74" s="354"/>
      <c r="H74" s="354"/>
      <c r="Z74" s="354"/>
      <c r="AA74" s="354"/>
      <c r="AB74" s="354"/>
      <c r="AC74" s="354"/>
      <c r="AD74" s="354"/>
    </row>
    <row r="75" spans="1:30" ht="15" customHeight="1">
      <c r="A75" s="248" t="s">
        <v>327</v>
      </c>
      <c r="B75" s="249" t="s">
        <v>652</v>
      </c>
      <c r="C75" s="250"/>
      <c r="D75" s="250"/>
      <c r="Z75" s="354"/>
      <c r="AA75" s="354"/>
      <c r="AB75" s="354"/>
      <c r="AC75" s="354"/>
      <c r="AD75" s="352"/>
    </row>
    <row r="76" spans="1:30" s="20" customFormat="1" ht="15" customHeight="1">
      <c r="A76" s="248" t="s">
        <v>328</v>
      </c>
      <c r="B76" s="249" t="s">
        <v>653</v>
      </c>
      <c r="C76" s="250"/>
      <c r="D76" s="250"/>
      <c r="E76" s="449"/>
      <c r="F76" s="361"/>
      <c r="G76" s="361"/>
      <c r="H76" s="361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361"/>
      <c r="AA76" s="361"/>
      <c r="AB76" s="361"/>
      <c r="AC76" s="361"/>
      <c r="AD76" s="362"/>
    </row>
    <row r="77" spans="1:30" s="193" customFormat="1" ht="15" customHeight="1">
      <c r="A77" s="248" t="s">
        <v>329</v>
      </c>
      <c r="B77" s="249" t="s">
        <v>654</v>
      </c>
      <c r="C77" s="250"/>
      <c r="D77" s="250"/>
      <c r="E77" s="450"/>
      <c r="F77" s="363"/>
      <c r="G77" s="363"/>
      <c r="H77" s="363"/>
      <c r="I77" s="192"/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2"/>
      <c r="U77" s="192"/>
      <c r="V77" s="192"/>
      <c r="W77" s="192"/>
      <c r="X77" s="192"/>
      <c r="Y77" s="192"/>
      <c r="Z77" s="363"/>
      <c r="AA77" s="363"/>
      <c r="AB77" s="363"/>
      <c r="AC77" s="363"/>
      <c r="AD77" s="364"/>
    </row>
    <row r="78" spans="1:30" ht="15.75" customHeight="1">
      <c r="A78" s="248" t="s">
        <v>330</v>
      </c>
      <c r="B78" s="249" t="s">
        <v>655</v>
      </c>
      <c r="C78" s="250">
        <v>47818</v>
      </c>
      <c r="D78" s="250">
        <v>0</v>
      </c>
      <c r="E78" s="84">
        <v>110000</v>
      </c>
      <c r="G78" s="354">
        <v>5000</v>
      </c>
      <c r="H78" s="354">
        <v>23075</v>
      </c>
      <c r="U78" s="354"/>
      <c r="V78" s="354"/>
      <c r="W78" s="354"/>
      <c r="X78" s="354"/>
      <c r="Y78" s="354"/>
      <c r="Z78" s="354"/>
      <c r="AA78" s="354"/>
      <c r="AB78" s="354"/>
      <c r="AC78" s="354"/>
      <c r="AD78" s="352"/>
    </row>
    <row r="79" spans="1:30" ht="28.5" customHeight="1">
      <c r="A79" s="248" t="s">
        <v>331</v>
      </c>
      <c r="B79" s="249" t="s">
        <v>656</v>
      </c>
      <c r="C79" s="250">
        <v>0</v>
      </c>
      <c r="D79" s="250"/>
      <c r="E79" s="84">
        <v>110000</v>
      </c>
      <c r="G79" s="354">
        <v>5000</v>
      </c>
      <c r="Z79" s="354"/>
      <c r="AA79" s="354"/>
      <c r="AB79" s="354"/>
      <c r="AC79" s="354"/>
      <c r="AD79" s="352"/>
    </row>
    <row r="80" spans="1:30" ht="15" customHeight="1">
      <c r="A80" s="248" t="s">
        <v>332</v>
      </c>
      <c r="B80" s="249" t="s">
        <v>657</v>
      </c>
      <c r="C80" s="250"/>
      <c r="D80" s="250"/>
      <c r="Z80" s="354"/>
      <c r="AA80" s="354"/>
      <c r="AB80" s="354"/>
      <c r="AC80" s="354"/>
      <c r="AD80" s="352"/>
    </row>
    <row r="81" spans="1:30" s="174" customFormat="1" ht="15.75" customHeight="1">
      <c r="A81" s="248" t="s">
        <v>333</v>
      </c>
      <c r="B81" s="249" t="s">
        <v>658</v>
      </c>
      <c r="C81" s="250">
        <v>43600</v>
      </c>
      <c r="D81" s="250">
        <v>0</v>
      </c>
      <c r="E81" s="453"/>
      <c r="F81" s="359"/>
      <c r="G81" s="359"/>
      <c r="H81" s="359">
        <v>23075</v>
      </c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  <c r="Y81" s="173"/>
      <c r="Z81" s="359"/>
      <c r="AA81" s="359"/>
      <c r="AB81" s="359"/>
      <c r="AC81" s="359"/>
      <c r="AD81" s="360"/>
    </row>
    <row r="82" spans="1:30" ht="15" customHeight="1">
      <c r="A82" s="248" t="s">
        <v>334</v>
      </c>
      <c r="B82" s="249" t="s">
        <v>659</v>
      </c>
      <c r="C82" s="250">
        <v>1430</v>
      </c>
      <c r="D82" s="250">
        <v>0</v>
      </c>
      <c r="Z82" s="354"/>
      <c r="AA82" s="354"/>
      <c r="AB82" s="354"/>
      <c r="AC82" s="354"/>
      <c r="AD82" s="352"/>
    </row>
    <row r="83" spans="1:30" s="4" customFormat="1" ht="15" customHeight="1">
      <c r="A83" s="248" t="s">
        <v>335</v>
      </c>
      <c r="B83" s="249" t="s">
        <v>660</v>
      </c>
      <c r="C83" s="250"/>
      <c r="D83" s="250"/>
      <c r="E83" s="452"/>
      <c r="F83" s="357"/>
      <c r="G83" s="357"/>
      <c r="H83" s="357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357"/>
      <c r="AA83" s="357"/>
      <c r="AB83" s="357"/>
      <c r="AC83" s="357"/>
      <c r="AD83" s="358"/>
    </row>
    <row r="84" spans="1:30" s="4" customFormat="1" ht="15" customHeight="1">
      <c r="A84" s="248" t="s">
        <v>336</v>
      </c>
      <c r="B84" s="249" t="s">
        <v>661</v>
      </c>
      <c r="C84" s="250"/>
      <c r="D84" s="250"/>
      <c r="E84" s="452"/>
      <c r="F84" s="357"/>
      <c r="G84" s="357"/>
      <c r="H84" s="357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357"/>
      <c r="AA84" s="357"/>
      <c r="AB84" s="357"/>
      <c r="AC84" s="357"/>
      <c r="AD84" s="358"/>
    </row>
    <row r="85" spans="1:30" ht="15" customHeight="1">
      <c r="A85" s="248" t="s">
        <v>337</v>
      </c>
      <c r="B85" s="249" t="s">
        <v>662</v>
      </c>
      <c r="C85" s="250"/>
      <c r="D85" s="250"/>
      <c r="Z85" s="354"/>
      <c r="AA85" s="354"/>
      <c r="AB85" s="354"/>
      <c r="AC85" s="354"/>
      <c r="AD85" s="352"/>
    </row>
    <row r="86" spans="1:30" ht="15" customHeight="1">
      <c r="A86" s="248" t="s">
        <v>338</v>
      </c>
      <c r="B86" s="249" t="s">
        <v>663</v>
      </c>
      <c r="C86" s="250"/>
      <c r="D86" s="250"/>
      <c r="Z86" s="354"/>
      <c r="AA86" s="354"/>
      <c r="AB86" s="354"/>
      <c r="AC86" s="354"/>
      <c r="AD86" s="352"/>
    </row>
    <row r="87" spans="1:30" ht="15" customHeight="1">
      <c r="A87" s="248" t="s">
        <v>339</v>
      </c>
      <c r="B87" s="249" t="s">
        <v>664</v>
      </c>
      <c r="C87" s="250">
        <v>2788</v>
      </c>
      <c r="D87" s="250">
        <v>0</v>
      </c>
      <c r="Z87" s="354"/>
      <c r="AA87" s="354"/>
      <c r="AB87" s="354"/>
      <c r="AC87" s="354"/>
      <c r="AD87" s="352"/>
    </row>
    <row r="88" spans="1:30" ht="12.75" customHeight="1">
      <c r="A88" s="248" t="s">
        <v>340</v>
      </c>
      <c r="B88" s="249" t="s">
        <v>665</v>
      </c>
      <c r="C88" s="250">
        <f>SUM(C89:C93)</f>
        <v>0</v>
      </c>
      <c r="D88" s="250"/>
      <c r="U88" s="354"/>
      <c r="V88" s="354"/>
      <c r="W88" s="354"/>
      <c r="X88" s="354"/>
      <c r="Y88" s="354"/>
      <c r="Z88" s="354"/>
      <c r="AA88" s="354"/>
      <c r="AB88" s="354"/>
      <c r="AC88" s="354"/>
      <c r="AD88" s="352"/>
    </row>
    <row r="89" spans="1:30" s="2" customFormat="1" ht="12.75" customHeight="1">
      <c r="A89" s="248" t="s">
        <v>341</v>
      </c>
      <c r="B89" s="249" t="s">
        <v>666</v>
      </c>
      <c r="C89" s="250"/>
      <c r="D89" s="250"/>
      <c r="E89" s="451"/>
      <c r="F89" s="355"/>
      <c r="G89" s="355"/>
      <c r="H89" s="355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355"/>
      <c r="AA89" s="355"/>
      <c r="AB89" s="355"/>
      <c r="AC89" s="355"/>
      <c r="AD89" s="356"/>
    </row>
    <row r="90" spans="1:30" ht="12.75" customHeight="1">
      <c r="A90" s="248" t="s">
        <v>342</v>
      </c>
      <c r="B90" s="249" t="s">
        <v>667</v>
      </c>
      <c r="C90" s="250"/>
      <c r="D90" s="250"/>
      <c r="Z90" s="354"/>
      <c r="AA90" s="354"/>
      <c r="AB90" s="354"/>
      <c r="AC90" s="354"/>
      <c r="AD90" s="352"/>
    </row>
    <row r="91" spans="1:30" s="4" customFormat="1" ht="12.75" customHeight="1">
      <c r="A91" s="248" t="s">
        <v>343</v>
      </c>
      <c r="B91" s="249" t="s">
        <v>668</v>
      </c>
      <c r="C91" s="250"/>
      <c r="D91" s="250"/>
      <c r="E91" s="452"/>
      <c r="F91" s="357"/>
      <c r="G91" s="357"/>
      <c r="H91" s="357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357"/>
      <c r="AA91" s="357"/>
      <c r="AB91" s="357"/>
      <c r="AC91" s="357"/>
      <c r="AD91" s="358"/>
    </row>
    <row r="92" spans="1:30" s="4" customFormat="1" ht="12.75" customHeight="1">
      <c r="A92" s="248" t="s">
        <v>344</v>
      </c>
      <c r="B92" s="249" t="s">
        <v>669</v>
      </c>
      <c r="C92" s="250"/>
      <c r="D92" s="250"/>
      <c r="E92" s="452"/>
      <c r="F92" s="357"/>
      <c r="G92" s="357"/>
      <c r="H92" s="357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357"/>
      <c r="AA92" s="357"/>
      <c r="AB92" s="357"/>
      <c r="AC92" s="357"/>
      <c r="AD92" s="358"/>
    </row>
    <row r="93" spans="1:30" ht="24.75" customHeight="1">
      <c r="A93" s="248" t="s">
        <v>345</v>
      </c>
      <c r="B93" s="249" t="s">
        <v>670</v>
      </c>
      <c r="C93" s="250"/>
      <c r="D93" s="250"/>
      <c r="Z93" s="354"/>
      <c r="AA93" s="354"/>
      <c r="AB93" s="354"/>
      <c r="AC93" s="354"/>
      <c r="AD93" s="352"/>
    </row>
    <row r="94" spans="1:30" ht="14.25" customHeight="1">
      <c r="A94" s="248" t="s">
        <v>346</v>
      </c>
      <c r="B94" s="249" t="s">
        <v>671</v>
      </c>
      <c r="C94" s="250">
        <f>SUM(C95:C97)</f>
        <v>0</v>
      </c>
      <c r="D94" s="250">
        <f>SUM(D95:D97)</f>
        <v>0</v>
      </c>
      <c r="Z94" s="354"/>
      <c r="AA94" s="354"/>
      <c r="AB94" s="354"/>
      <c r="AC94" s="354"/>
      <c r="AD94" s="352"/>
    </row>
    <row r="95" spans="1:30" ht="15" customHeight="1">
      <c r="A95" s="248" t="s">
        <v>347</v>
      </c>
      <c r="B95" s="249" t="s">
        <v>672</v>
      </c>
      <c r="C95" s="250"/>
      <c r="D95" s="250"/>
      <c r="Z95" s="354"/>
      <c r="AA95" s="354"/>
      <c r="AB95" s="354"/>
      <c r="AC95" s="354"/>
      <c r="AD95" s="352"/>
    </row>
    <row r="96" spans="1:30" s="2" customFormat="1" ht="27" customHeight="1">
      <c r="A96" s="248" t="s">
        <v>348</v>
      </c>
      <c r="B96" s="249" t="s">
        <v>673</v>
      </c>
      <c r="C96" s="250"/>
      <c r="D96" s="250"/>
      <c r="E96" s="451"/>
      <c r="F96" s="355"/>
      <c r="G96" s="355"/>
      <c r="H96" s="355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355"/>
      <c r="AA96" s="355"/>
      <c r="AB96" s="355"/>
      <c r="AC96" s="355"/>
      <c r="AD96" s="356"/>
    </row>
    <row r="97" spans="1:30" s="174" customFormat="1" ht="25.5">
      <c r="A97" s="248" t="s">
        <v>349</v>
      </c>
      <c r="B97" s="249" t="s">
        <v>674</v>
      </c>
      <c r="C97" s="250"/>
      <c r="D97" s="250"/>
      <c r="E97" s="453"/>
      <c r="F97" s="359"/>
      <c r="G97" s="359"/>
      <c r="H97" s="359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359"/>
      <c r="AA97" s="359"/>
      <c r="AB97" s="359"/>
      <c r="AC97" s="359"/>
      <c r="AD97" s="360"/>
    </row>
    <row r="98" spans="1:30" ht="15" customHeight="1">
      <c r="A98" s="248" t="s">
        <v>350</v>
      </c>
      <c r="B98" s="249" t="s">
        <v>675</v>
      </c>
      <c r="C98" s="250">
        <f>SUM(C99:C101)</f>
        <v>0</v>
      </c>
      <c r="D98" s="250">
        <f>SUM(D99:D101)</f>
        <v>0</v>
      </c>
      <c r="Z98" s="354"/>
      <c r="AA98" s="354"/>
      <c r="AB98" s="354"/>
      <c r="AC98" s="354"/>
      <c r="AD98" s="352"/>
    </row>
    <row r="99" spans="1:30" ht="27.75" customHeight="1">
      <c r="A99" s="248" t="s">
        <v>351</v>
      </c>
      <c r="B99" s="249" t="s">
        <v>676</v>
      </c>
      <c r="C99" s="250"/>
      <c r="D99" s="250"/>
      <c r="Z99" s="354"/>
      <c r="AA99" s="354"/>
      <c r="AB99" s="354"/>
      <c r="AC99" s="354"/>
      <c r="AD99" s="352"/>
    </row>
    <row r="100" spans="1:30" ht="26.25" customHeight="1">
      <c r="A100" s="248" t="s">
        <v>352</v>
      </c>
      <c r="B100" s="249" t="s">
        <v>677</v>
      </c>
      <c r="C100" s="250"/>
      <c r="D100" s="250"/>
      <c r="Z100" s="354"/>
      <c r="AA100" s="354"/>
      <c r="AB100" s="354"/>
      <c r="AC100" s="354"/>
      <c r="AD100" s="352"/>
    </row>
    <row r="101" spans="1:30" ht="26.25" customHeight="1">
      <c r="A101" s="248" t="s">
        <v>353</v>
      </c>
      <c r="B101" s="249" t="s">
        <v>678</v>
      </c>
      <c r="C101" s="393"/>
      <c r="D101" s="393"/>
      <c r="Z101" s="354"/>
      <c r="AA101" s="354"/>
      <c r="AB101" s="354"/>
      <c r="AC101" s="354"/>
      <c r="AD101" s="352"/>
    </row>
    <row r="102" spans="1:30" ht="12.75" customHeight="1">
      <c r="A102" s="365" t="s">
        <v>354</v>
      </c>
      <c r="B102" s="376" t="s">
        <v>679</v>
      </c>
      <c r="C102" s="394">
        <f>SUM(C103:C109)</f>
        <v>0</v>
      </c>
      <c r="D102" s="394">
        <f>SUM(D103:D109)</f>
        <v>0</v>
      </c>
      <c r="Z102" s="354"/>
      <c r="AA102" s="354"/>
      <c r="AB102" s="354"/>
      <c r="AC102" s="354"/>
      <c r="AD102" s="352"/>
    </row>
    <row r="103" spans="1:30">
      <c r="A103" s="365" t="s">
        <v>355</v>
      </c>
      <c r="B103" s="376" t="s">
        <v>680</v>
      </c>
      <c r="C103" s="394"/>
      <c r="D103" s="394"/>
      <c r="Z103" s="354"/>
      <c r="AA103" s="354"/>
      <c r="AB103" s="354"/>
      <c r="AC103" s="354"/>
      <c r="AD103" s="352"/>
    </row>
    <row r="104" spans="1:30" s="2" customFormat="1" ht="25.5">
      <c r="A104" s="377" t="s">
        <v>356</v>
      </c>
      <c r="B104" s="249" t="s">
        <v>764</v>
      </c>
      <c r="C104" s="395"/>
      <c r="D104" s="396"/>
      <c r="E104" s="451"/>
      <c r="F104" s="355"/>
      <c r="G104" s="355"/>
      <c r="H104" s="355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355"/>
      <c r="AA104" s="355"/>
      <c r="AB104" s="355"/>
      <c r="AC104" s="355"/>
      <c r="AD104" s="356"/>
    </row>
    <row r="105" spans="1:30" ht="15" customHeight="1">
      <c r="A105" s="248" t="s">
        <v>357</v>
      </c>
      <c r="B105" s="249" t="s">
        <v>681</v>
      </c>
      <c r="C105" s="397"/>
      <c r="D105" s="397"/>
      <c r="Z105" s="354"/>
      <c r="AA105" s="354"/>
      <c r="AB105" s="354"/>
      <c r="AC105" s="354"/>
      <c r="AD105" s="352"/>
    </row>
    <row r="106" spans="1:30" ht="15" customHeight="1">
      <c r="A106" s="254" t="s">
        <v>358</v>
      </c>
      <c r="B106" s="255" t="s">
        <v>682</v>
      </c>
      <c r="C106" s="256"/>
      <c r="D106" s="256"/>
      <c r="Z106" s="354"/>
      <c r="AA106" s="354"/>
      <c r="AB106" s="354"/>
      <c r="AC106" s="354"/>
      <c r="AD106" s="352"/>
    </row>
    <row r="107" spans="1:30" ht="15" customHeight="1">
      <c r="A107" s="254" t="s">
        <v>359</v>
      </c>
      <c r="B107" s="255" t="s">
        <v>683</v>
      </c>
      <c r="C107" s="256"/>
      <c r="D107" s="256"/>
      <c r="Z107" s="354"/>
      <c r="AA107" s="354"/>
      <c r="AB107" s="354"/>
      <c r="AC107" s="354"/>
      <c r="AD107" s="352"/>
    </row>
    <row r="108" spans="1:30" s="4" customFormat="1" ht="15" customHeight="1">
      <c r="A108" s="254" t="s">
        <v>360</v>
      </c>
      <c r="B108" s="255" t="s">
        <v>684</v>
      </c>
      <c r="C108" s="256"/>
      <c r="D108" s="256"/>
      <c r="E108" s="452"/>
      <c r="F108" s="357"/>
      <c r="G108" s="357"/>
      <c r="H108" s="357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357"/>
      <c r="AA108" s="357"/>
      <c r="AB108" s="357"/>
      <c r="AC108" s="357"/>
      <c r="AD108" s="358"/>
    </row>
    <row r="109" spans="1:30" s="4" customFormat="1" ht="15" customHeight="1">
      <c r="A109" s="254" t="s">
        <v>361</v>
      </c>
      <c r="B109" s="255" t="s">
        <v>685</v>
      </c>
      <c r="C109" s="256"/>
      <c r="D109" s="256"/>
      <c r="E109" s="452"/>
      <c r="F109" s="357"/>
      <c r="G109" s="357"/>
      <c r="H109" s="357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357"/>
      <c r="AA109" s="357"/>
      <c r="AB109" s="357"/>
      <c r="AC109" s="357"/>
      <c r="AD109" s="358"/>
    </row>
    <row r="110" spans="1:30" ht="15" customHeight="1">
      <c r="A110" s="380" t="s">
        <v>362</v>
      </c>
      <c r="B110" s="381" t="s">
        <v>686</v>
      </c>
      <c r="C110" s="398">
        <f>SUM(C67,C71,C78,C88,C94,C98,C102,C69)</f>
        <v>1982526</v>
      </c>
      <c r="D110" s="398">
        <f>SUM(D67,D71,D78,D88,D94,D98,D102,D69)</f>
        <v>0</v>
      </c>
      <c r="U110" s="354"/>
      <c r="V110" s="354"/>
      <c r="W110" s="354"/>
      <c r="X110" s="354"/>
      <c r="Y110" s="354"/>
      <c r="Z110" s="354"/>
      <c r="AA110" s="354"/>
      <c r="AB110" s="354"/>
      <c r="AC110" s="354"/>
      <c r="AD110" s="352"/>
    </row>
    <row r="111" spans="1:30" s="4" customFormat="1" ht="25.5">
      <c r="A111" s="254" t="s">
        <v>363</v>
      </c>
      <c r="B111" s="255" t="s">
        <v>687</v>
      </c>
      <c r="C111" s="256">
        <f>SUM(C112)</f>
        <v>0</v>
      </c>
      <c r="D111" s="256">
        <f>SUM(D112)</f>
        <v>0</v>
      </c>
      <c r="E111" s="452"/>
      <c r="F111" s="357"/>
      <c r="G111" s="357"/>
      <c r="H111" s="357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357"/>
      <c r="AA111" s="357"/>
      <c r="AB111" s="357"/>
      <c r="AC111" s="357"/>
      <c r="AD111" s="358"/>
    </row>
    <row r="112" spans="1:30" s="4" customFormat="1" ht="25.5">
      <c r="A112" s="378" t="s">
        <v>364</v>
      </c>
      <c r="B112" s="379" t="s">
        <v>688</v>
      </c>
      <c r="C112" s="399"/>
      <c r="D112" s="399"/>
      <c r="E112" s="452"/>
      <c r="F112" s="357"/>
      <c r="G112" s="357"/>
      <c r="H112" s="357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357"/>
      <c r="AA112" s="357"/>
      <c r="AB112" s="357"/>
      <c r="AC112" s="357"/>
      <c r="AD112" s="358"/>
    </row>
    <row r="113" spans="1:30" s="4" customFormat="1" ht="25.5">
      <c r="A113" s="254" t="s">
        <v>365</v>
      </c>
      <c r="B113" s="255" t="s">
        <v>689</v>
      </c>
      <c r="C113" s="256">
        <f>SUM(C114)</f>
        <v>0</v>
      </c>
      <c r="D113" s="256">
        <f>SUM(D114)</f>
        <v>0</v>
      </c>
      <c r="E113" s="452"/>
      <c r="F113" s="357"/>
      <c r="G113" s="357"/>
      <c r="H113" s="357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357"/>
      <c r="AA113" s="357"/>
      <c r="AB113" s="357"/>
      <c r="AC113" s="357"/>
      <c r="AD113" s="358"/>
    </row>
    <row r="114" spans="1:30" s="4" customFormat="1" ht="28.5" customHeight="1">
      <c r="A114" s="254" t="s">
        <v>366</v>
      </c>
      <c r="B114" s="255" t="s">
        <v>690</v>
      </c>
      <c r="C114" s="256"/>
      <c r="D114" s="256"/>
      <c r="E114" s="452"/>
      <c r="F114" s="357"/>
      <c r="G114" s="357"/>
      <c r="H114" s="357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357"/>
      <c r="AA114" s="357"/>
      <c r="AB114" s="357"/>
      <c r="AC114" s="357"/>
      <c r="AD114" s="358"/>
    </row>
    <row r="115" spans="1:30" s="4" customFormat="1" ht="12.75" customHeight="1">
      <c r="A115" s="254" t="s">
        <v>367</v>
      </c>
      <c r="B115" s="255" t="s">
        <v>691</v>
      </c>
      <c r="C115" s="256">
        <f>SUM(C116:C121)</f>
        <v>0</v>
      </c>
      <c r="D115" s="256">
        <f>SUM(D116:D121)</f>
        <v>0</v>
      </c>
      <c r="E115" s="452"/>
      <c r="F115" s="357"/>
      <c r="G115" s="357"/>
      <c r="H115" s="357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357"/>
      <c r="V115" s="357"/>
      <c r="W115" s="357"/>
      <c r="X115" s="357"/>
      <c r="Y115" s="357"/>
      <c r="Z115" s="357"/>
      <c r="AA115" s="357"/>
      <c r="AB115" s="357"/>
      <c r="AC115" s="357"/>
      <c r="AD115" s="358"/>
    </row>
    <row r="116" spans="1:30" s="2" customFormat="1" ht="12.75" customHeight="1">
      <c r="A116" s="254" t="s">
        <v>368</v>
      </c>
      <c r="B116" s="255" t="s">
        <v>692</v>
      </c>
      <c r="C116" s="256"/>
      <c r="D116" s="256"/>
      <c r="E116" s="451"/>
      <c r="F116" s="355"/>
      <c r="G116" s="355"/>
      <c r="H116" s="355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355"/>
      <c r="AA116" s="355"/>
      <c r="AB116" s="355"/>
      <c r="AC116" s="355"/>
      <c r="AD116" s="356"/>
    </row>
    <row r="117" spans="1:30">
      <c r="A117" s="254" t="s">
        <v>369</v>
      </c>
      <c r="B117" s="255" t="s">
        <v>693</v>
      </c>
      <c r="C117" s="256"/>
      <c r="D117" s="256"/>
      <c r="Z117" s="354"/>
      <c r="AA117" s="354"/>
      <c r="AB117" s="354"/>
      <c r="AC117" s="354"/>
      <c r="AD117" s="352"/>
    </row>
    <row r="118" spans="1:30" ht="14.25" customHeight="1">
      <c r="A118" s="254" t="s">
        <v>370</v>
      </c>
      <c r="B118" s="255" t="s">
        <v>694</v>
      </c>
      <c r="C118" s="256"/>
      <c r="D118" s="256"/>
      <c r="Z118" s="354"/>
      <c r="AA118" s="354"/>
      <c r="AB118" s="354"/>
      <c r="AC118" s="354"/>
      <c r="AD118" s="352"/>
    </row>
    <row r="119" spans="1:30" ht="12.75" customHeight="1">
      <c r="A119" s="254" t="s">
        <v>371</v>
      </c>
      <c r="B119" s="255" t="s">
        <v>695</v>
      </c>
      <c r="C119" s="256"/>
      <c r="D119" s="256"/>
      <c r="Z119" s="354"/>
      <c r="AA119" s="354"/>
      <c r="AB119" s="354"/>
      <c r="AC119" s="354"/>
      <c r="AD119" s="352"/>
    </row>
    <row r="120" spans="1:30" ht="12.75" customHeight="1">
      <c r="A120" s="254" t="s">
        <v>372</v>
      </c>
      <c r="B120" s="255" t="s">
        <v>696</v>
      </c>
      <c r="C120" s="256"/>
      <c r="D120" s="256"/>
      <c r="Z120" s="354"/>
      <c r="AA120" s="354"/>
      <c r="AB120" s="354"/>
      <c r="AC120" s="354"/>
      <c r="AD120" s="352"/>
    </row>
    <row r="121" spans="1:30" s="4" customFormat="1" ht="12.75" customHeight="1">
      <c r="A121" s="254" t="s">
        <v>373</v>
      </c>
      <c r="B121" s="255" t="s">
        <v>697</v>
      </c>
      <c r="C121" s="256"/>
      <c r="D121" s="256"/>
      <c r="E121" s="452"/>
      <c r="F121" s="357"/>
      <c r="G121" s="357"/>
      <c r="H121" s="357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357"/>
      <c r="AA121" s="357"/>
      <c r="AB121" s="357"/>
      <c r="AC121" s="357"/>
      <c r="AD121" s="358"/>
    </row>
    <row r="122" spans="1:30" s="4" customFormat="1" ht="14.25" customHeight="1">
      <c r="A122" s="254" t="s">
        <v>374</v>
      </c>
      <c r="B122" s="255" t="s">
        <v>698</v>
      </c>
      <c r="C122" s="256">
        <f>SUM(C123:C131)</f>
        <v>0</v>
      </c>
      <c r="D122" s="256">
        <f>SUM(D123:D131)</f>
        <v>0</v>
      </c>
      <c r="E122" s="452"/>
      <c r="F122" s="357"/>
      <c r="G122" s="357"/>
      <c r="H122" s="357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357"/>
      <c r="V122" s="357"/>
      <c r="W122" s="357"/>
      <c r="X122" s="357"/>
      <c r="Y122" s="357"/>
      <c r="Z122" s="357"/>
      <c r="AA122" s="357"/>
      <c r="AB122" s="357"/>
      <c r="AC122" s="357"/>
      <c r="AD122" s="358"/>
    </row>
    <row r="123" spans="1:30" s="2" customFormat="1" ht="25.5">
      <c r="A123" s="254" t="s">
        <v>375</v>
      </c>
      <c r="B123" s="255" t="s">
        <v>699</v>
      </c>
      <c r="C123" s="256"/>
      <c r="D123" s="256"/>
      <c r="E123" s="451"/>
      <c r="F123" s="355"/>
      <c r="G123" s="355"/>
      <c r="H123" s="355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355"/>
      <c r="AA123" s="355"/>
      <c r="AB123" s="355"/>
      <c r="AC123" s="355"/>
      <c r="AD123" s="356"/>
    </row>
    <row r="124" spans="1:30" s="174" customFormat="1" ht="15.75" customHeight="1">
      <c r="A124" s="254" t="s">
        <v>376</v>
      </c>
      <c r="B124" s="255" t="s">
        <v>700</v>
      </c>
      <c r="C124" s="256"/>
      <c r="D124" s="256"/>
      <c r="E124" s="453"/>
      <c r="F124" s="359"/>
      <c r="G124" s="359"/>
      <c r="H124" s="359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359"/>
      <c r="AA124" s="359"/>
      <c r="AB124" s="359"/>
      <c r="AC124" s="359"/>
      <c r="AD124" s="360"/>
    </row>
    <row r="125" spans="1:30" s="174" customFormat="1" ht="15.75" customHeight="1">
      <c r="A125" s="254" t="s">
        <v>377</v>
      </c>
      <c r="B125" s="255" t="s">
        <v>701</v>
      </c>
      <c r="C125" s="256"/>
      <c r="D125" s="256"/>
      <c r="E125" s="453"/>
      <c r="F125" s="359"/>
      <c r="G125" s="359"/>
      <c r="H125" s="359"/>
      <c r="I125" s="173"/>
      <c r="J125" s="173"/>
      <c r="K125" s="173"/>
      <c r="L125" s="173"/>
      <c r="M125" s="173"/>
      <c r="N125" s="173"/>
      <c r="O125" s="173"/>
      <c r="P125" s="173"/>
      <c r="Q125" s="173"/>
      <c r="R125" s="173"/>
      <c r="S125" s="173"/>
      <c r="T125" s="173"/>
      <c r="U125" s="173"/>
      <c r="V125" s="173"/>
      <c r="W125" s="173"/>
      <c r="X125" s="173"/>
      <c r="Y125" s="173"/>
      <c r="Z125" s="359"/>
      <c r="AA125" s="359"/>
      <c r="AB125" s="359"/>
      <c r="AC125" s="359"/>
      <c r="AD125" s="360"/>
    </row>
    <row r="126" spans="1:30" s="46" customFormat="1" ht="15.75" customHeight="1">
      <c r="A126" s="254" t="s">
        <v>378</v>
      </c>
      <c r="B126" s="255" t="s">
        <v>702</v>
      </c>
      <c r="C126" s="256"/>
      <c r="D126" s="256"/>
      <c r="E126" s="84"/>
      <c r="F126" s="354"/>
      <c r="G126" s="354"/>
      <c r="H126" s="354"/>
      <c r="Z126" s="354"/>
      <c r="AA126" s="354"/>
      <c r="AB126" s="354"/>
      <c r="AC126" s="354"/>
      <c r="AD126" s="354"/>
    </row>
    <row r="127" spans="1:30" s="46" customFormat="1" ht="15" customHeight="1">
      <c r="A127" s="254" t="s">
        <v>379</v>
      </c>
      <c r="B127" s="255" t="s">
        <v>703</v>
      </c>
      <c r="C127" s="256"/>
      <c r="D127" s="256"/>
      <c r="E127" s="84"/>
      <c r="F127" s="354"/>
      <c r="G127" s="354"/>
      <c r="H127" s="354"/>
      <c r="Z127" s="354"/>
      <c r="AA127" s="354"/>
      <c r="AB127" s="354"/>
      <c r="AC127" s="354"/>
      <c r="AD127" s="354"/>
    </row>
    <row r="128" spans="1:30" s="46" customFormat="1" ht="15.75" customHeight="1">
      <c r="A128" s="254" t="s">
        <v>380</v>
      </c>
      <c r="B128" s="255" t="s">
        <v>704</v>
      </c>
      <c r="C128" s="256"/>
      <c r="D128" s="256"/>
      <c r="E128" s="84"/>
      <c r="F128" s="354"/>
      <c r="G128" s="354"/>
      <c r="H128" s="354"/>
      <c r="Z128" s="354"/>
      <c r="AA128" s="354"/>
      <c r="AB128" s="354"/>
      <c r="AC128" s="354"/>
      <c r="AD128" s="354"/>
    </row>
    <row r="129" spans="1:30" s="46" customFormat="1" ht="17.25" customHeight="1">
      <c r="A129" s="254" t="s">
        <v>381</v>
      </c>
      <c r="B129" s="255" t="s">
        <v>705</v>
      </c>
      <c r="C129" s="256"/>
      <c r="D129" s="256"/>
      <c r="E129" s="84"/>
      <c r="F129" s="354"/>
      <c r="G129" s="354"/>
      <c r="H129" s="354"/>
      <c r="Z129" s="354"/>
      <c r="AA129" s="354"/>
      <c r="AB129" s="354"/>
      <c r="AC129" s="354"/>
      <c r="AD129" s="354"/>
    </row>
    <row r="130" spans="1:30" s="46" customFormat="1" ht="15.75" customHeight="1">
      <c r="A130" s="254" t="s">
        <v>382</v>
      </c>
      <c r="B130" s="255" t="s">
        <v>706</v>
      </c>
      <c r="C130" s="256"/>
      <c r="D130" s="256"/>
      <c r="E130" s="84"/>
      <c r="F130" s="354"/>
      <c r="G130" s="354"/>
      <c r="H130" s="354"/>
      <c r="Z130" s="354"/>
      <c r="AA130" s="354"/>
      <c r="AB130" s="354"/>
      <c r="AC130" s="354"/>
      <c r="AD130" s="354"/>
    </row>
    <row r="131" spans="1:30" s="46" customFormat="1" ht="12.75" customHeight="1">
      <c r="A131" s="254" t="s">
        <v>383</v>
      </c>
      <c r="B131" s="255" t="s">
        <v>707</v>
      </c>
      <c r="C131" s="256"/>
      <c r="D131" s="256"/>
      <c r="E131" s="84"/>
      <c r="F131" s="354"/>
      <c r="G131" s="354"/>
      <c r="H131" s="354"/>
      <c r="Z131" s="354"/>
      <c r="AA131" s="354"/>
      <c r="AB131" s="354"/>
      <c r="AC131" s="354"/>
      <c r="AD131" s="354"/>
    </row>
    <row r="132" spans="1:30" ht="12.75" customHeight="1">
      <c r="A132" s="378" t="s">
        <v>384</v>
      </c>
      <c r="B132" s="379" t="s">
        <v>708</v>
      </c>
      <c r="C132" s="399">
        <f>SUM(C133:C137)</f>
        <v>0</v>
      </c>
      <c r="D132" s="399">
        <f>SUM(D133:D137)</f>
        <v>0</v>
      </c>
      <c r="U132" s="354"/>
      <c r="V132" s="354"/>
      <c r="W132" s="354"/>
      <c r="X132" s="354"/>
      <c r="Y132" s="354"/>
      <c r="Z132" s="354"/>
      <c r="AA132" s="354"/>
      <c r="AB132" s="354"/>
      <c r="AC132" s="354"/>
      <c r="AD132" s="352"/>
    </row>
    <row r="133" spans="1:30" ht="12.75" customHeight="1">
      <c r="A133" s="254" t="s">
        <v>385</v>
      </c>
      <c r="B133" s="255" t="s">
        <v>709</v>
      </c>
      <c r="C133" s="256"/>
      <c r="D133" s="256"/>
      <c r="Z133" s="354"/>
      <c r="AA133" s="354"/>
      <c r="AB133" s="354"/>
      <c r="AC133" s="354"/>
      <c r="AD133" s="352"/>
    </row>
    <row r="134" spans="1:30" ht="13.5" customHeight="1">
      <c r="A134" s="254" t="s">
        <v>386</v>
      </c>
      <c r="B134" s="255" t="s">
        <v>710</v>
      </c>
      <c r="C134" s="256"/>
      <c r="D134" s="256"/>
      <c r="Z134" s="354"/>
      <c r="AA134" s="354"/>
      <c r="AB134" s="354"/>
      <c r="AC134" s="354"/>
      <c r="AD134" s="352"/>
    </row>
    <row r="135" spans="1:30" ht="12.75" customHeight="1">
      <c r="A135" s="254" t="s">
        <v>387</v>
      </c>
      <c r="B135" s="255" t="s">
        <v>711</v>
      </c>
      <c r="C135" s="256"/>
      <c r="D135" s="256"/>
      <c r="Z135" s="354"/>
      <c r="AA135" s="354"/>
      <c r="AB135" s="354"/>
      <c r="AC135" s="354"/>
      <c r="AD135" s="352"/>
    </row>
    <row r="136" spans="1:30" ht="12.75" customHeight="1">
      <c r="A136" s="254" t="s">
        <v>388</v>
      </c>
      <c r="B136" s="255" t="s">
        <v>712</v>
      </c>
      <c r="C136" s="256"/>
      <c r="D136" s="256"/>
      <c r="Z136" s="354"/>
      <c r="AA136" s="354"/>
      <c r="AB136" s="354"/>
      <c r="AC136" s="354"/>
      <c r="AD136" s="352"/>
    </row>
    <row r="137" spans="1:30" ht="15.75" customHeight="1">
      <c r="A137" s="254" t="s">
        <v>389</v>
      </c>
      <c r="B137" s="255" t="s">
        <v>713</v>
      </c>
      <c r="C137" s="256"/>
      <c r="D137" s="256"/>
      <c r="Z137" s="354"/>
      <c r="AA137" s="354"/>
      <c r="AB137" s="354"/>
      <c r="AC137" s="354"/>
      <c r="AD137" s="352"/>
    </row>
    <row r="138" spans="1:30" ht="18" customHeight="1">
      <c r="A138" s="254" t="s">
        <v>390</v>
      </c>
      <c r="B138" s="255" t="s">
        <v>714</v>
      </c>
      <c r="C138" s="256">
        <f>SUM(C139:C141)</f>
        <v>0</v>
      </c>
      <c r="D138" s="256">
        <f>SUM(D139:D141)</f>
        <v>0</v>
      </c>
      <c r="Z138" s="354"/>
      <c r="AA138" s="354"/>
      <c r="AB138" s="354"/>
      <c r="AC138" s="354"/>
      <c r="AD138" s="352"/>
    </row>
    <row r="139" spans="1:30" ht="25.5">
      <c r="A139" s="254" t="s">
        <v>391</v>
      </c>
      <c r="B139" s="255" t="s">
        <v>715</v>
      </c>
      <c r="C139" s="256"/>
      <c r="D139" s="256"/>
      <c r="Z139" s="354"/>
      <c r="AA139" s="354"/>
      <c r="AB139" s="354"/>
      <c r="AC139" s="354"/>
      <c r="AD139" s="352"/>
    </row>
    <row r="140" spans="1:30" ht="25.5">
      <c r="A140" s="254" t="s">
        <v>392</v>
      </c>
      <c r="B140" s="255" t="s">
        <v>716</v>
      </c>
      <c r="C140" s="256"/>
      <c r="D140" s="256"/>
      <c r="Z140" s="354"/>
      <c r="AA140" s="354"/>
      <c r="AB140" s="354"/>
      <c r="AC140" s="354"/>
      <c r="AD140" s="352"/>
    </row>
    <row r="141" spans="1:30" ht="28.5" customHeight="1">
      <c r="A141" s="254" t="s">
        <v>393</v>
      </c>
      <c r="B141" s="255" t="s">
        <v>717</v>
      </c>
      <c r="C141" s="256"/>
      <c r="D141" s="256"/>
      <c r="Z141" s="354"/>
      <c r="AA141" s="354"/>
      <c r="AB141" s="354"/>
      <c r="AC141" s="354"/>
      <c r="AD141" s="352"/>
    </row>
    <row r="142" spans="1:30" ht="16.5" customHeight="1">
      <c r="A142" s="254" t="s">
        <v>394</v>
      </c>
      <c r="B142" s="255" t="s">
        <v>718</v>
      </c>
      <c r="C142" s="256">
        <f>SUM(C143:C145)</f>
        <v>0</v>
      </c>
      <c r="D142" s="256">
        <f>SUM(D143:D145)</f>
        <v>0</v>
      </c>
      <c r="Z142" s="354"/>
      <c r="AA142" s="354"/>
      <c r="AB142" s="354"/>
      <c r="AC142" s="354"/>
      <c r="AD142" s="352"/>
    </row>
    <row r="143" spans="1:30" ht="27.75" customHeight="1">
      <c r="A143" s="254" t="s">
        <v>395</v>
      </c>
      <c r="B143" s="255" t="s">
        <v>719</v>
      </c>
      <c r="C143" s="256"/>
      <c r="D143" s="256"/>
      <c r="Z143" s="354"/>
      <c r="AA143" s="354"/>
      <c r="AB143" s="354"/>
      <c r="AC143" s="354"/>
      <c r="AD143" s="352"/>
    </row>
    <row r="144" spans="1:30" ht="27.75" customHeight="1">
      <c r="A144" s="254" t="s">
        <v>396</v>
      </c>
      <c r="B144" s="255" t="s">
        <v>720</v>
      </c>
      <c r="C144" s="256"/>
      <c r="D144" s="256"/>
      <c r="Z144" s="354"/>
      <c r="AA144" s="354"/>
      <c r="AB144" s="354"/>
      <c r="AC144" s="354"/>
      <c r="AD144" s="352"/>
    </row>
    <row r="145" spans="1:30" ht="25.5" customHeight="1">
      <c r="A145" s="254" t="s">
        <v>397</v>
      </c>
      <c r="B145" s="255" t="s">
        <v>721</v>
      </c>
      <c r="C145" s="256"/>
      <c r="D145" s="256"/>
      <c r="Z145" s="354"/>
      <c r="AA145" s="354"/>
      <c r="AB145" s="354"/>
      <c r="AC145" s="354"/>
      <c r="AD145" s="352"/>
    </row>
    <row r="146" spans="1:30" ht="12.75" customHeight="1">
      <c r="A146" s="254" t="s">
        <v>398</v>
      </c>
      <c r="B146" s="255" t="s">
        <v>722</v>
      </c>
      <c r="C146" s="256">
        <f>SUM(C147:C150)</f>
        <v>0</v>
      </c>
      <c r="D146" s="256">
        <f>SUM(D147:D150)</f>
        <v>0</v>
      </c>
      <c r="U146" s="354"/>
      <c r="V146" s="354"/>
      <c r="W146" s="354"/>
      <c r="X146" s="354"/>
      <c r="Y146" s="354"/>
      <c r="Z146" s="354"/>
      <c r="AA146" s="354"/>
      <c r="AB146" s="354"/>
      <c r="AC146" s="354"/>
      <c r="AD146" s="352"/>
    </row>
    <row r="147" spans="1:30" ht="26.25" customHeight="1">
      <c r="A147" s="254" t="s">
        <v>399</v>
      </c>
      <c r="B147" s="255" t="s">
        <v>723</v>
      </c>
      <c r="C147" s="256"/>
      <c r="D147" s="256"/>
      <c r="Z147" s="354"/>
      <c r="AA147" s="354"/>
      <c r="AB147" s="354"/>
      <c r="AC147" s="354"/>
      <c r="AD147" s="352"/>
    </row>
    <row r="148" spans="1:30" ht="12.75" customHeight="1">
      <c r="A148" s="254">
        <v>141</v>
      </c>
      <c r="B148" s="255" t="s">
        <v>724</v>
      </c>
      <c r="C148" s="256"/>
      <c r="D148" s="256"/>
      <c r="Z148" s="354"/>
      <c r="AA148" s="354"/>
      <c r="AB148" s="354"/>
      <c r="AC148" s="354"/>
      <c r="AD148" s="352"/>
    </row>
    <row r="149" spans="1:30" ht="16.5" customHeight="1">
      <c r="A149" s="254">
        <v>142</v>
      </c>
      <c r="B149" s="255" t="s">
        <v>725</v>
      </c>
      <c r="C149" s="256"/>
      <c r="D149" s="256"/>
      <c r="Z149" s="354"/>
      <c r="AA149" s="354"/>
      <c r="AB149" s="354"/>
      <c r="AC149" s="354"/>
      <c r="AD149" s="352"/>
    </row>
    <row r="150" spans="1:30" ht="27" customHeight="1">
      <c r="A150" s="254">
        <v>143</v>
      </c>
      <c r="B150" s="255" t="s">
        <v>726</v>
      </c>
      <c r="C150" s="256"/>
      <c r="D150" s="256"/>
      <c r="Z150" s="354"/>
      <c r="AA150" s="354"/>
      <c r="AB150" s="354"/>
      <c r="AC150" s="354"/>
      <c r="AD150" s="352"/>
    </row>
    <row r="151" spans="1:30" ht="27.75" customHeight="1">
      <c r="A151" s="380">
        <v>144</v>
      </c>
      <c r="B151" s="381" t="s">
        <v>727</v>
      </c>
      <c r="C151" s="398">
        <f>SUM(C146,C142,C138,C132,C122,C115,C113,C111)</f>
        <v>0</v>
      </c>
      <c r="D151" s="398">
        <f>SUM(D146,D142,D138,D132,D122,D115,D113,D111)</f>
        <v>0</v>
      </c>
      <c r="U151" s="354"/>
      <c r="V151" s="354"/>
      <c r="W151" s="354"/>
      <c r="X151" s="354"/>
      <c r="Y151" s="354"/>
      <c r="Z151" s="354"/>
      <c r="AA151" s="354"/>
      <c r="AB151" s="354"/>
      <c r="AC151" s="354"/>
      <c r="AD151" s="352"/>
    </row>
    <row r="152" spans="1:30" ht="16.5" customHeight="1">
      <c r="A152" s="378">
        <v>145</v>
      </c>
      <c r="B152" s="379" t="s">
        <v>728</v>
      </c>
      <c r="C152" s="399">
        <v>590737</v>
      </c>
      <c r="D152" s="399">
        <f>333594+52162</f>
        <v>385756</v>
      </c>
      <c r="E152" s="84">
        <v>14760528</v>
      </c>
      <c r="G152" s="354">
        <v>220743</v>
      </c>
      <c r="H152" s="354">
        <v>933450</v>
      </c>
      <c r="U152" s="354"/>
      <c r="V152" s="354"/>
      <c r="W152" s="354"/>
      <c r="X152" s="354"/>
      <c r="Y152" s="354"/>
      <c r="Z152" s="354"/>
      <c r="AA152" s="354"/>
      <c r="AB152" s="354"/>
      <c r="AC152" s="354"/>
      <c r="AD152" s="352"/>
    </row>
    <row r="153" spans="1:30" ht="12.75" customHeight="1">
      <c r="A153" s="254">
        <v>146</v>
      </c>
      <c r="B153" s="255" t="s">
        <v>729</v>
      </c>
      <c r="C153" s="256"/>
      <c r="D153" s="256"/>
      <c r="Z153" s="354"/>
      <c r="AA153" s="354"/>
      <c r="AB153" s="354"/>
      <c r="AC153" s="354"/>
      <c r="AD153" s="352"/>
    </row>
    <row r="154" spans="1:30" ht="25.5" customHeight="1">
      <c r="A154" s="254">
        <v>147</v>
      </c>
      <c r="B154" s="255" t="s">
        <v>730</v>
      </c>
      <c r="C154" s="256">
        <v>0</v>
      </c>
      <c r="D154" s="256"/>
      <c r="E154" s="84">
        <v>14643684</v>
      </c>
      <c r="Z154" s="354"/>
      <c r="AA154" s="354"/>
      <c r="AB154" s="354"/>
      <c r="AC154" s="354"/>
      <c r="AD154" s="352"/>
    </row>
    <row r="155" spans="1:30" ht="14.25" customHeight="1">
      <c r="A155" s="254">
        <v>148</v>
      </c>
      <c r="B155" s="255" t="s">
        <v>731</v>
      </c>
      <c r="C155" s="256">
        <v>0</v>
      </c>
      <c r="D155" s="256"/>
      <c r="G155" s="354">
        <v>220743</v>
      </c>
      <c r="Z155" s="354"/>
      <c r="AA155" s="354"/>
      <c r="AB155" s="354"/>
      <c r="AC155" s="354"/>
      <c r="AD155" s="352"/>
    </row>
    <row r="156" spans="1:30" ht="12.75" customHeight="1">
      <c r="A156" s="254">
        <v>149</v>
      </c>
      <c r="B156" s="255" t="s">
        <v>732</v>
      </c>
      <c r="C156" s="256">
        <v>477936</v>
      </c>
      <c r="D156" s="256">
        <f>333594+52162</f>
        <v>385756</v>
      </c>
      <c r="H156" s="354">
        <v>933450</v>
      </c>
      <c r="Z156" s="354"/>
      <c r="AA156" s="354"/>
      <c r="AB156" s="354"/>
      <c r="AC156" s="354"/>
      <c r="AD156" s="352"/>
    </row>
    <row r="157" spans="1:30" ht="15.75" customHeight="1">
      <c r="A157" s="254">
        <v>150</v>
      </c>
      <c r="B157" s="255" t="s">
        <v>733</v>
      </c>
      <c r="C157" s="256">
        <v>112801</v>
      </c>
      <c r="D157" s="256">
        <v>0</v>
      </c>
      <c r="Z157" s="354"/>
      <c r="AA157" s="354"/>
      <c r="AB157" s="354"/>
      <c r="AC157" s="354"/>
      <c r="AD157" s="352"/>
    </row>
    <row r="158" spans="1:30" ht="17.25" customHeight="1">
      <c r="A158" s="254">
        <v>151</v>
      </c>
      <c r="B158" s="255" t="s">
        <v>734</v>
      </c>
      <c r="C158" s="256">
        <v>0</v>
      </c>
      <c r="D158" s="256"/>
      <c r="E158" s="84">
        <v>116844</v>
      </c>
      <c r="Z158" s="354"/>
      <c r="AA158" s="354"/>
      <c r="AB158" s="354"/>
      <c r="AC158" s="354"/>
      <c r="AD158" s="352"/>
    </row>
    <row r="159" spans="1:30" ht="12.75" customHeight="1">
      <c r="A159" s="254">
        <v>152</v>
      </c>
      <c r="B159" s="255" t="s">
        <v>735</v>
      </c>
      <c r="C159" s="256"/>
      <c r="D159" s="256"/>
      <c r="Z159" s="354"/>
      <c r="AA159" s="354"/>
      <c r="AB159" s="354"/>
      <c r="AC159" s="354"/>
      <c r="AD159" s="352"/>
    </row>
    <row r="160" spans="1:30" ht="15" customHeight="1">
      <c r="A160" s="254">
        <v>153</v>
      </c>
      <c r="B160" s="255" t="s">
        <v>736</v>
      </c>
      <c r="C160" s="256"/>
      <c r="D160" s="256"/>
      <c r="Z160" s="354"/>
      <c r="AA160" s="354"/>
      <c r="AB160" s="354"/>
      <c r="AC160" s="354"/>
      <c r="AD160" s="352"/>
    </row>
    <row r="161" spans="1:30" ht="12.75" customHeight="1">
      <c r="A161" s="378">
        <v>154</v>
      </c>
      <c r="B161" s="379" t="s">
        <v>737</v>
      </c>
      <c r="C161" s="399"/>
      <c r="D161" s="399"/>
      <c r="Z161" s="354"/>
      <c r="AA161" s="354"/>
      <c r="AB161" s="354"/>
      <c r="AC161" s="354"/>
      <c r="AD161" s="352"/>
    </row>
    <row r="162" spans="1:30" ht="12.75" customHeight="1">
      <c r="A162" s="378">
        <v>155</v>
      </c>
      <c r="B162" s="379" t="s">
        <v>738</v>
      </c>
      <c r="C162" s="399"/>
      <c r="D162" s="399"/>
      <c r="Z162" s="354"/>
      <c r="AA162" s="354"/>
      <c r="AB162" s="354"/>
      <c r="AC162" s="354"/>
      <c r="AD162" s="352"/>
    </row>
    <row r="163" spans="1:30" ht="12.75" customHeight="1">
      <c r="A163" s="378">
        <v>156</v>
      </c>
      <c r="B163" s="379" t="s">
        <v>739</v>
      </c>
      <c r="C163" s="399"/>
      <c r="D163" s="399"/>
      <c r="Z163" s="354"/>
      <c r="AA163" s="354"/>
      <c r="AB163" s="354"/>
      <c r="AC163" s="354"/>
      <c r="AD163" s="352"/>
    </row>
    <row r="164" spans="1:30" ht="15" customHeight="1">
      <c r="A164" s="254">
        <v>157</v>
      </c>
      <c r="B164" s="255" t="s">
        <v>740</v>
      </c>
      <c r="C164" s="256"/>
      <c r="D164" s="256"/>
      <c r="Z164" s="354"/>
      <c r="AA164" s="354"/>
      <c r="AB164" s="354"/>
      <c r="AC164" s="354"/>
      <c r="AD164" s="352"/>
    </row>
    <row r="165" spans="1:30" ht="15" customHeight="1">
      <c r="A165" s="254">
        <v>158</v>
      </c>
      <c r="B165" s="255" t="s">
        <v>741</v>
      </c>
      <c r="C165" s="256"/>
      <c r="D165" s="256"/>
      <c r="Z165" s="354"/>
      <c r="AA165" s="354"/>
      <c r="AB165" s="354"/>
      <c r="AC165" s="354"/>
      <c r="AD165" s="352"/>
    </row>
    <row r="166" spans="1:30" ht="15" customHeight="1">
      <c r="A166" s="254">
        <v>159</v>
      </c>
      <c r="B166" s="255" t="s">
        <v>742</v>
      </c>
      <c r="C166" s="256"/>
      <c r="D166" s="256"/>
      <c r="Z166" s="354"/>
      <c r="AA166" s="354"/>
      <c r="AB166" s="354"/>
      <c r="AC166" s="354"/>
      <c r="AD166" s="352"/>
    </row>
    <row r="167" spans="1:30" ht="12.75" customHeight="1">
      <c r="A167" s="369">
        <v>160</v>
      </c>
      <c r="B167" s="370" t="s">
        <v>743</v>
      </c>
      <c r="C167" s="400">
        <f>SUM(C159:C166)+C152</f>
        <v>590737</v>
      </c>
      <c r="D167" s="400">
        <f>SUM(D159:D166)+D152</f>
        <v>385756</v>
      </c>
      <c r="U167" s="354"/>
      <c r="V167" s="354"/>
      <c r="W167" s="354"/>
      <c r="X167" s="354"/>
      <c r="Y167" s="354"/>
      <c r="Z167" s="354"/>
      <c r="AA167" s="354"/>
      <c r="AB167" s="354"/>
      <c r="AC167" s="354"/>
      <c r="AD167" s="352"/>
    </row>
    <row r="168" spans="1:30" ht="30" customHeight="1">
      <c r="A168" s="382">
        <v>161</v>
      </c>
      <c r="B168" s="383" t="s">
        <v>744</v>
      </c>
      <c r="C168" s="401">
        <f>SUM(C110,C151,C167)</f>
        <v>2573263</v>
      </c>
      <c r="D168" s="401">
        <f>SUM(D110,D151,D167)</f>
        <v>385756</v>
      </c>
      <c r="U168" s="354"/>
      <c r="V168" s="354"/>
      <c r="W168" s="354"/>
      <c r="X168" s="354"/>
      <c r="Y168" s="354"/>
      <c r="Z168" s="354"/>
      <c r="AA168" s="354"/>
      <c r="AB168" s="354"/>
      <c r="AC168" s="354"/>
      <c r="AD168" s="352"/>
    </row>
    <row r="169" spans="1:30" ht="12.75" customHeight="1">
      <c r="A169" s="365">
        <v>162</v>
      </c>
      <c r="B169" s="366" t="s">
        <v>745</v>
      </c>
      <c r="C169" s="386">
        <v>1173</v>
      </c>
      <c r="D169" s="386">
        <f>1001</f>
        <v>1001</v>
      </c>
      <c r="Z169" s="354"/>
      <c r="AA169" s="354"/>
      <c r="AB169" s="354"/>
      <c r="AC169" s="354"/>
      <c r="AD169" s="352"/>
    </row>
    <row r="170" spans="1:30" ht="12.75" customHeight="1">
      <c r="A170" s="365">
        <v>163</v>
      </c>
      <c r="B170" s="366" t="s">
        <v>746</v>
      </c>
      <c r="C170" s="386">
        <v>6803009</v>
      </c>
      <c r="D170" s="386">
        <f>2094821+3503280+1591952+61607</f>
        <v>7251660</v>
      </c>
      <c r="E170" s="84">
        <v>1756188</v>
      </c>
      <c r="F170" s="354">
        <v>314941</v>
      </c>
      <c r="H170" s="354">
        <v>951273</v>
      </c>
      <c r="Z170" s="354"/>
      <c r="AA170" s="354"/>
      <c r="AB170" s="354"/>
      <c r="AC170" s="354"/>
      <c r="AD170" s="352"/>
    </row>
    <row r="171" spans="1:30" ht="12.75" customHeight="1">
      <c r="A171" s="365">
        <v>164</v>
      </c>
      <c r="B171" s="366" t="s">
        <v>747</v>
      </c>
      <c r="C171" s="386">
        <v>22723</v>
      </c>
      <c r="D171" s="386">
        <f>15679+2608</f>
        <v>18287</v>
      </c>
      <c r="Z171" s="354"/>
      <c r="AA171" s="354"/>
      <c r="AB171" s="354"/>
      <c r="AC171" s="354"/>
      <c r="AD171" s="352"/>
    </row>
    <row r="172" spans="1:30" ht="12.75" customHeight="1">
      <c r="A172" s="365">
        <v>165</v>
      </c>
      <c r="B172" s="366" t="s">
        <v>748</v>
      </c>
      <c r="C172" s="386"/>
      <c r="D172" s="386"/>
      <c r="Z172" s="354"/>
      <c r="AA172" s="354"/>
      <c r="AB172" s="354"/>
      <c r="AC172" s="354"/>
      <c r="AD172" s="352"/>
    </row>
    <row r="173" spans="1:30" ht="12.75" customHeight="1">
      <c r="A173" s="367">
        <v>166</v>
      </c>
      <c r="B173" s="368" t="s">
        <v>749</v>
      </c>
      <c r="C173" s="387">
        <f>SUM(C169:C172)</f>
        <v>6826905</v>
      </c>
      <c r="D173" s="387">
        <f>SUM(D169:D172)</f>
        <v>7270948</v>
      </c>
      <c r="U173" s="354"/>
      <c r="V173" s="354"/>
      <c r="W173" s="354"/>
      <c r="X173" s="354"/>
      <c r="Y173" s="354"/>
      <c r="Z173" s="354"/>
      <c r="AA173" s="354"/>
      <c r="AB173" s="354"/>
      <c r="AC173" s="354"/>
      <c r="AD173" s="352"/>
    </row>
    <row r="174" spans="1:30" ht="12.75" customHeight="1">
      <c r="A174" s="365">
        <v>167</v>
      </c>
      <c r="B174" s="366" t="s">
        <v>750</v>
      </c>
      <c r="C174" s="386"/>
      <c r="D174" s="386"/>
      <c r="Z174" s="354"/>
      <c r="AA174" s="354"/>
      <c r="AB174" s="354"/>
      <c r="AC174" s="354"/>
      <c r="AD174" s="352"/>
    </row>
    <row r="175" spans="1:30" ht="12.75" customHeight="1">
      <c r="A175" s="365">
        <v>168</v>
      </c>
      <c r="B175" s="366" t="s">
        <v>751</v>
      </c>
      <c r="C175" s="386">
        <v>-3078776</v>
      </c>
      <c r="D175" s="386">
        <f>-311845-3056627</f>
        <v>-3368472</v>
      </c>
      <c r="E175" s="84">
        <v>-364835</v>
      </c>
      <c r="F175" s="354">
        <v>-251399</v>
      </c>
      <c r="H175" s="354">
        <v>-372750</v>
      </c>
      <c r="Z175" s="354"/>
      <c r="AA175" s="354"/>
      <c r="AB175" s="354"/>
      <c r="AC175" s="354"/>
      <c r="AD175" s="352"/>
    </row>
    <row r="176" spans="1:30" ht="12.75" customHeight="1">
      <c r="A176" s="367">
        <v>169</v>
      </c>
      <c r="B176" s="368" t="s">
        <v>752</v>
      </c>
      <c r="C176" s="387">
        <f>SUM(C174:C175)</f>
        <v>-3078776</v>
      </c>
      <c r="D176" s="387">
        <f>SUM(D174:D175)</f>
        <v>-3368472</v>
      </c>
      <c r="U176" s="354"/>
      <c r="V176" s="354"/>
      <c r="W176" s="354"/>
      <c r="X176" s="354"/>
      <c r="Y176" s="354"/>
      <c r="Z176" s="354"/>
      <c r="AA176" s="354"/>
      <c r="AB176" s="354"/>
      <c r="AC176" s="354"/>
      <c r="AD176" s="352"/>
    </row>
    <row r="177" spans="1:30" ht="12.75" customHeight="1">
      <c r="A177" s="365">
        <v>170</v>
      </c>
      <c r="B177" s="366" t="s">
        <v>753</v>
      </c>
      <c r="C177" s="386"/>
      <c r="D177" s="386"/>
      <c r="Z177" s="354"/>
      <c r="AA177" s="354"/>
      <c r="AB177" s="354"/>
      <c r="AC177" s="354"/>
      <c r="AD177" s="352"/>
    </row>
    <row r="178" spans="1:30" ht="15" customHeight="1">
      <c r="A178" s="365">
        <v>171</v>
      </c>
      <c r="B178" s="366" t="s">
        <v>754</v>
      </c>
      <c r="C178" s="386"/>
      <c r="D178" s="386"/>
      <c r="Z178" s="354"/>
      <c r="AA178" s="354"/>
      <c r="AB178" s="354"/>
      <c r="AC178" s="354"/>
      <c r="AD178" s="352"/>
    </row>
    <row r="179" spans="1:30" ht="12.75" customHeight="1">
      <c r="A179" s="365">
        <v>172</v>
      </c>
      <c r="B179" s="366" t="s">
        <v>755</v>
      </c>
      <c r="C179" s="386"/>
      <c r="D179" s="386"/>
    </row>
    <row r="180" spans="1:30" ht="12.75" customHeight="1">
      <c r="A180" s="365">
        <v>173</v>
      </c>
      <c r="B180" s="366" t="s">
        <v>756</v>
      </c>
      <c r="C180" s="386"/>
      <c r="D180" s="386"/>
    </row>
    <row r="181" spans="1:30" ht="12.75" customHeight="1">
      <c r="A181" s="367">
        <v>174</v>
      </c>
      <c r="B181" s="368" t="s">
        <v>757</v>
      </c>
      <c r="C181" s="387">
        <f>SUM(C177:C180)</f>
        <v>0</v>
      </c>
      <c r="D181" s="387">
        <f>SUM(D177:D180)</f>
        <v>0</v>
      </c>
      <c r="U181" s="354"/>
      <c r="V181" s="354"/>
      <c r="W181" s="354"/>
      <c r="X181" s="354"/>
      <c r="Y181" s="354"/>
      <c r="Z181" s="354"/>
      <c r="AA181" s="354"/>
      <c r="AB181" s="354"/>
      <c r="AC181" s="354"/>
      <c r="AD181" s="352"/>
    </row>
    <row r="182" spans="1:30" ht="18.75" customHeight="1">
      <c r="A182" s="384">
        <v>175</v>
      </c>
      <c r="B182" s="385" t="s">
        <v>758</v>
      </c>
      <c r="C182" s="388">
        <f>SUM(C173,C176,C181)</f>
        <v>3748129</v>
      </c>
      <c r="D182" s="388">
        <f>SUM(D173,D176,D181)</f>
        <v>3902476</v>
      </c>
      <c r="U182" s="354"/>
      <c r="V182" s="354"/>
      <c r="W182" s="354"/>
      <c r="X182" s="354"/>
      <c r="Y182" s="354"/>
      <c r="Z182" s="354"/>
      <c r="AA182" s="354"/>
      <c r="AB182" s="354"/>
      <c r="AC182" s="354"/>
      <c r="AD182" s="352"/>
    </row>
    <row r="183" spans="1:30" ht="12.75" customHeight="1">
      <c r="A183" s="367">
        <v>176</v>
      </c>
      <c r="B183" s="368" t="s">
        <v>759</v>
      </c>
      <c r="C183" s="387">
        <v>1792389</v>
      </c>
      <c r="D183" s="387">
        <f>1773088</f>
        <v>1773088</v>
      </c>
      <c r="E183" s="84">
        <v>427062</v>
      </c>
      <c r="F183" s="354">
        <v>85000</v>
      </c>
      <c r="H183" s="354">
        <v>1440021</v>
      </c>
      <c r="Z183" s="354"/>
      <c r="AA183" s="354"/>
      <c r="AB183" s="354"/>
      <c r="AC183" s="354"/>
      <c r="AD183" s="352"/>
    </row>
    <row r="184" spans="1:30" ht="12.75" customHeight="1">
      <c r="A184" s="367">
        <v>177</v>
      </c>
      <c r="B184" s="368" t="s">
        <v>760</v>
      </c>
      <c r="C184" s="387">
        <v>959539</v>
      </c>
      <c r="D184" s="387">
        <f>138377+3691100+15008</f>
        <v>3844485</v>
      </c>
      <c r="F184" s="354">
        <v>1980</v>
      </c>
      <c r="G184" s="354">
        <v>652050</v>
      </c>
      <c r="H184" s="354">
        <v>3289</v>
      </c>
      <c r="Z184" s="354"/>
      <c r="AA184" s="354"/>
      <c r="AB184" s="354"/>
      <c r="AC184" s="354"/>
      <c r="AD184" s="352"/>
    </row>
    <row r="185" spans="1:30" ht="12.75" customHeight="1">
      <c r="A185" s="367">
        <v>178</v>
      </c>
      <c r="B185" s="368" t="s">
        <v>761</v>
      </c>
      <c r="C185" s="387"/>
      <c r="D185" s="387"/>
      <c r="Z185" s="354"/>
      <c r="AA185" s="354"/>
      <c r="AB185" s="354"/>
      <c r="AC185" s="354"/>
      <c r="AD185" s="352"/>
    </row>
    <row r="186" spans="1:30" ht="20.25" customHeight="1">
      <c r="A186" s="384">
        <v>179</v>
      </c>
      <c r="B186" s="385" t="s">
        <v>762</v>
      </c>
      <c r="C186" s="388">
        <f>SUM(C183:C185)</f>
        <v>2751928</v>
      </c>
      <c r="D186" s="388">
        <f>SUM(D183:D185)</f>
        <v>5617573</v>
      </c>
      <c r="U186" s="354"/>
      <c r="V186" s="354"/>
      <c r="W186" s="354"/>
      <c r="X186" s="354"/>
      <c r="Y186" s="354"/>
      <c r="Z186" s="354"/>
      <c r="AA186" s="354"/>
      <c r="AB186" s="354"/>
      <c r="AC186" s="354"/>
      <c r="AD186" s="352"/>
    </row>
    <row r="187" spans="1:30" ht="25.5" customHeight="1">
      <c r="A187" s="384">
        <v>180</v>
      </c>
      <c r="B187" s="385" t="s">
        <v>763</v>
      </c>
      <c r="C187" s="388">
        <f>SUM(C35,C50,C66,C168,C182,C186)</f>
        <v>237113160</v>
      </c>
      <c r="D187" s="388">
        <f>SUM(D35,D50,D66,D168,D182,D186)</f>
        <v>218288417</v>
      </c>
      <c r="U187" s="354"/>
      <c r="V187" s="354"/>
      <c r="W187" s="354"/>
      <c r="X187" s="354"/>
      <c r="Y187" s="354"/>
      <c r="Z187" s="354"/>
      <c r="AA187" s="354"/>
      <c r="AB187" s="354"/>
      <c r="AC187" s="354"/>
      <c r="AD187" s="352"/>
    </row>
    <row r="188" spans="1:30" s="217" customFormat="1" ht="25.5" customHeight="1">
      <c r="A188" s="402"/>
      <c r="B188" s="246"/>
      <c r="C188" s="403"/>
      <c r="D188" s="403"/>
      <c r="E188" s="221"/>
      <c r="F188" s="219"/>
      <c r="G188" s="219"/>
      <c r="H188" s="219"/>
      <c r="U188" s="219"/>
      <c r="V188" s="219"/>
      <c r="W188" s="219"/>
      <c r="X188" s="219"/>
      <c r="Y188" s="219"/>
      <c r="Z188" s="219"/>
      <c r="AA188" s="219"/>
      <c r="AB188" s="219"/>
      <c r="AC188" s="219"/>
      <c r="AD188" s="219"/>
    </row>
    <row r="189" spans="1:30">
      <c r="A189" s="257"/>
      <c r="B189" s="245"/>
      <c r="C189" s="221"/>
      <c r="D189" s="221"/>
    </row>
    <row r="190" spans="1:30">
      <c r="A190" s="865" t="s">
        <v>765</v>
      </c>
      <c r="B190" s="865"/>
      <c r="C190" s="865"/>
      <c r="D190" s="865"/>
    </row>
    <row r="191" spans="1:30" ht="25.5">
      <c r="A191" s="404" t="s">
        <v>139</v>
      </c>
      <c r="B191" s="374" t="s">
        <v>134</v>
      </c>
      <c r="C191" s="405" t="s">
        <v>232</v>
      </c>
      <c r="D191" s="405" t="s">
        <v>233</v>
      </c>
    </row>
    <row r="192" spans="1:30" ht="15.75" customHeight="1">
      <c r="A192" s="367">
        <v>181</v>
      </c>
      <c r="B192" s="368" t="s">
        <v>766</v>
      </c>
      <c r="C192" s="387">
        <v>293688879</v>
      </c>
      <c r="D192" s="387">
        <f>3454162+3899626+4782110+281552981</f>
        <v>293688879</v>
      </c>
      <c r="E192" s="84">
        <v>3454162</v>
      </c>
      <c r="F192" s="354">
        <v>281552981</v>
      </c>
      <c r="G192" s="354">
        <v>4782110</v>
      </c>
      <c r="H192" s="354">
        <v>3899626</v>
      </c>
    </row>
    <row r="193" spans="1:8" ht="16.5" customHeight="1">
      <c r="A193" s="367">
        <v>182</v>
      </c>
      <c r="B193" s="368" t="s">
        <v>767</v>
      </c>
      <c r="C193" s="387"/>
      <c r="D193" s="387"/>
    </row>
    <row r="194" spans="1:8" ht="12.75" customHeight="1">
      <c r="A194" s="365">
        <v>183</v>
      </c>
      <c r="B194" s="366" t="s">
        <v>768</v>
      </c>
      <c r="C194" s="386"/>
      <c r="D194" s="386"/>
    </row>
    <row r="195" spans="1:8" ht="12.75" customHeight="1">
      <c r="A195" s="365">
        <v>184</v>
      </c>
      <c r="B195" s="366" t="s">
        <v>769</v>
      </c>
      <c r="C195" s="386"/>
      <c r="D195" s="386"/>
    </row>
    <row r="196" spans="1:8" ht="12.75" customHeight="1">
      <c r="A196" s="365">
        <v>185</v>
      </c>
      <c r="B196" s="366" t="s">
        <v>770</v>
      </c>
      <c r="C196" s="386">
        <v>23471112</v>
      </c>
      <c r="D196" s="386">
        <f>4582081+5418227+6370262+7100542</f>
        <v>23471112</v>
      </c>
      <c r="E196" s="84">
        <v>4582081</v>
      </c>
      <c r="F196" s="354">
        <v>7100542</v>
      </c>
      <c r="G196" s="354">
        <v>6370262</v>
      </c>
      <c r="H196" s="354">
        <v>5418227</v>
      </c>
    </row>
    <row r="197" spans="1:8" ht="16.5" customHeight="1">
      <c r="A197" s="367">
        <v>186</v>
      </c>
      <c r="B197" s="368" t="s">
        <v>771</v>
      </c>
      <c r="C197" s="387">
        <f>SUM(C194:C196)</f>
        <v>23471112</v>
      </c>
      <c r="D197" s="387">
        <f>SUM(D194:D196)</f>
        <v>23471112</v>
      </c>
    </row>
    <row r="198" spans="1:8" ht="18.75" customHeight="1">
      <c r="A198" s="367">
        <v>187</v>
      </c>
      <c r="B198" s="368" t="s">
        <v>772</v>
      </c>
      <c r="C198" s="387">
        <v>-269487200</v>
      </c>
      <c r="D198" s="387">
        <f>-1823814+5672358+1885688-292848240</f>
        <v>-287114008</v>
      </c>
      <c r="E198" s="84">
        <v>-5881432</v>
      </c>
      <c r="F198" s="354">
        <v>-89965286</v>
      </c>
      <c r="G198" s="354">
        <v>-2663758</v>
      </c>
      <c r="H198" s="354">
        <v>-4132707</v>
      </c>
    </row>
    <row r="199" spans="1:8" ht="15.75" customHeight="1">
      <c r="A199" s="367">
        <v>188</v>
      </c>
      <c r="B199" s="368" t="s">
        <v>773</v>
      </c>
      <c r="C199" s="387"/>
      <c r="D199" s="387"/>
    </row>
    <row r="200" spans="1:8" ht="15.75" customHeight="1">
      <c r="A200" s="367">
        <v>189</v>
      </c>
      <c r="B200" s="368" t="s">
        <v>774</v>
      </c>
      <c r="C200" s="387">
        <v>-17626808</v>
      </c>
      <c r="D200" s="387">
        <f>7187818-13482995+2704177-11993086</f>
        <v>-15584086</v>
      </c>
      <c r="E200" s="84">
        <v>3978714</v>
      </c>
      <c r="F200" s="354">
        <v>-175930690</v>
      </c>
      <c r="G200" s="354">
        <v>3703271</v>
      </c>
      <c r="H200" s="354">
        <v>20370020</v>
      </c>
    </row>
    <row r="201" spans="1:8" ht="18.75" customHeight="1">
      <c r="A201" s="384">
        <v>190</v>
      </c>
      <c r="B201" s="385" t="s">
        <v>775</v>
      </c>
      <c r="C201" s="388">
        <f>SUM(C192:C193,C197:C200)</f>
        <v>30045983</v>
      </c>
      <c r="D201" s="388">
        <f>SUM(D192:D193,D197:D200)</f>
        <v>14461897</v>
      </c>
    </row>
    <row r="202" spans="1:8" ht="15" customHeight="1">
      <c r="A202" s="365">
        <v>191</v>
      </c>
      <c r="B202" s="366" t="s">
        <v>776</v>
      </c>
      <c r="C202" s="386"/>
      <c r="D202" s="386"/>
    </row>
    <row r="203" spans="1:8" ht="15" customHeight="1">
      <c r="A203" s="365">
        <v>192</v>
      </c>
      <c r="B203" s="366" t="s">
        <v>777</v>
      </c>
      <c r="C203" s="386"/>
      <c r="D203" s="386"/>
    </row>
    <row r="204" spans="1:8" ht="15" customHeight="1">
      <c r="A204" s="365">
        <v>193</v>
      </c>
      <c r="B204" s="366" t="s">
        <v>778</v>
      </c>
      <c r="C204" s="386">
        <v>0</v>
      </c>
      <c r="D204" s="386"/>
      <c r="F204" s="354">
        <v>110000</v>
      </c>
      <c r="H204" s="354">
        <v>110000</v>
      </c>
    </row>
    <row r="205" spans="1:8" ht="15" customHeight="1">
      <c r="A205" s="365">
        <v>194</v>
      </c>
      <c r="B205" s="366" t="s">
        <v>779</v>
      </c>
      <c r="C205" s="386"/>
      <c r="D205" s="386"/>
    </row>
    <row r="206" spans="1:8" ht="15" customHeight="1">
      <c r="A206" s="365">
        <v>195</v>
      </c>
      <c r="B206" s="366" t="s">
        <v>780</v>
      </c>
      <c r="C206" s="386">
        <f>SUM(C207:C208)</f>
        <v>0</v>
      </c>
      <c r="D206" s="386">
        <f>SUM(D207:D208)</f>
        <v>0</v>
      </c>
    </row>
    <row r="207" spans="1:8" ht="15" customHeight="1">
      <c r="A207" s="365">
        <v>196</v>
      </c>
      <c r="B207" s="389" t="s">
        <v>833</v>
      </c>
      <c r="C207" s="386"/>
      <c r="D207" s="386"/>
    </row>
    <row r="208" spans="1:8" ht="15" customHeight="1">
      <c r="A208" s="365">
        <v>197</v>
      </c>
      <c r="B208" s="366" t="s">
        <v>781</v>
      </c>
      <c r="C208" s="386"/>
      <c r="D208" s="386"/>
    </row>
    <row r="209" spans="1:4" ht="15" customHeight="1">
      <c r="A209" s="365">
        <v>198</v>
      </c>
      <c r="B209" s="366" t="s">
        <v>782</v>
      </c>
      <c r="C209" s="386"/>
      <c r="D209" s="386"/>
    </row>
    <row r="210" spans="1:4" ht="15" customHeight="1">
      <c r="A210" s="365">
        <v>199</v>
      </c>
      <c r="B210" s="366" t="s">
        <v>783</v>
      </c>
      <c r="C210" s="386"/>
      <c r="D210" s="386"/>
    </row>
    <row r="211" spans="1:4" ht="15" customHeight="1">
      <c r="A211" s="365">
        <v>200</v>
      </c>
      <c r="B211" s="366" t="s">
        <v>784</v>
      </c>
      <c r="C211" s="386">
        <f>SUM(C212:C213)</f>
        <v>0</v>
      </c>
      <c r="D211" s="386">
        <f>SUM(D212:D213)</f>
        <v>0</v>
      </c>
    </row>
    <row r="212" spans="1:4" ht="15" customHeight="1">
      <c r="A212" s="365">
        <v>201</v>
      </c>
      <c r="B212" s="389" t="s">
        <v>834</v>
      </c>
      <c r="C212" s="386"/>
      <c r="D212" s="386"/>
    </row>
    <row r="213" spans="1:4" ht="15" customHeight="1">
      <c r="A213" s="365">
        <v>202</v>
      </c>
      <c r="B213" s="366" t="s">
        <v>785</v>
      </c>
      <c r="C213" s="386"/>
      <c r="D213" s="386"/>
    </row>
    <row r="214" spans="1:4" ht="15" customHeight="1">
      <c r="A214" s="365">
        <v>203</v>
      </c>
      <c r="B214" s="366" t="s">
        <v>786</v>
      </c>
      <c r="C214" s="386">
        <f>SUM(C215:C227)</f>
        <v>0</v>
      </c>
      <c r="D214" s="386">
        <f>SUM(D215:D227)</f>
        <v>0</v>
      </c>
    </row>
    <row r="215" spans="1:4" ht="25.5">
      <c r="A215" s="365">
        <v>204</v>
      </c>
      <c r="B215" s="389" t="s">
        <v>835</v>
      </c>
      <c r="C215" s="386"/>
      <c r="D215" s="386"/>
    </row>
    <row r="216" spans="1:4" ht="25.5">
      <c r="A216" s="365">
        <v>205</v>
      </c>
      <c r="B216" s="389" t="s">
        <v>836</v>
      </c>
      <c r="C216" s="386"/>
      <c r="D216" s="386"/>
    </row>
    <row r="217" spans="1:4" ht="15" customHeight="1">
      <c r="A217" s="365">
        <v>206</v>
      </c>
      <c r="B217" s="366" t="s">
        <v>787</v>
      </c>
      <c r="C217" s="386"/>
      <c r="D217" s="386"/>
    </row>
    <row r="218" spans="1:4" ht="15" customHeight="1">
      <c r="A218" s="365">
        <v>207</v>
      </c>
      <c r="B218" s="366" t="s">
        <v>788</v>
      </c>
      <c r="C218" s="386"/>
      <c r="D218" s="386"/>
    </row>
    <row r="219" spans="1:4" ht="15" customHeight="1">
      <c r="A219" s="365">
        <v>208</v>
      </c>
      <c r="B219" s="366" t="s">
        <v>789</v>
      </c>
      <c r="C219" s="386"/>
      <c r="D219" s="386"/>
    </row>
    <row r="220" spans="1:4" ht="15" customHeight="1">
      <c r="A220" s="365">
        <v>209</v>
      </c>
      <c r="B220" s="366" t="s">
        <v>790</v>
      </c>
      <c r="C220" s="386"/>
      <c r="D220" s="386"/>
    </row>
    <row r="221" spans="1:4" ht="15" customHeight="1">
      <c r="A221" s="365">
        <v>210</v>
      </c>
      <c r="B221" s="366" t="s">
        <v>791</v>
      </c>
      <c r="C221" s="386"/>
      <c r="D221" s="386"/>
    </row>
    <row r="222" spans="1:4" ht="15" customHeight="1">
      <c r="A222" s="365">
        <v>211</v>
      </c>
      <c r="B222" s="366" t="s">
        <v>792</v>
      </c>
      <c r="C222" s="386"/>
      <c r="D222" s="386"/>
    </row>
    <row r="223" spans="1:4" ht="15" customHeight="1">
      <c r="A223" s="365">
        <v>212</v>
      </c>
      <c r="B223" s="366" t="s">
        <v>793</v>
      </c>
      <c r="C223" s="386"/>
      <c r="D223" s="386"/>
    </row>
    <row r="224" spans="1:4" ht="25.5">
      <c r="A224" s="365">
        <v>213</v>
      </c>
      <c r="B224" s="389" t="s">
        <v>837</v>
      </c>
      <c r="C224" s="386"/>
      <c r="D224" s="386"/>
    </row>
    <row r="225" spans="1:8" ht="15" customHeight="1">
      <c r="A225" s="365">
        <v>214</v>
      </c>
      <c r="B225" s="366" t="s">
        <v>794</v>
      </c>
      <c r="C225" s="386"/>
      <c r="D225" s="386"/>
    </row>
    <row r="226" spans="1:8" ht="15" customHeight="1">
      <c r="A226" s="365">
        <v>215</v>
      </c>
      <c r="B226" s="366" t="s">
        <v>795</v>
      </c>
      <c r="C226" s="386"/>
      <c r="D226" s="386"/>
    </row>
    <row r="227" spans="1:8" ht="25.5">
      <c r="A227" s="365">
        <v>216</v>
      </c>
      <c r="B227" s="389" t="s">
        <v>838</v>
      </c>
      <c r="C227" s="386"/>
      <c r="D227" s="386"/>
    </row>
    <row r="228" spans="1:8" ht="18" customHeight="1">
      <c r="A228" s="367">
        <v>217</v>
      </c>
      <c r="B228" s="368" t="s">
        <v>796</v>
      </c>
      <c r="C228" s="387">
        <f>SUM(C202,C203,C204,C205,C206,C209,C210,C211,C214)</f>
        <v>0</v>
      </c>
      <c r="D228" s="387">
        <f>SUM(D202,D203,D204,D205,D206,D209,D210,D211,D214)</f>
        <v>0</v>
      </c>
    </row>
    <row r="229" spans="1:8" ht="15" customHeight="1">
      <c r="A229" s="365">
        <v>218</v>
      </c>
      <c r="B229" s="366" t="s">
        <v>797</v>
      </c>
      <c r="C229" s="386"/>
      <c r="D229" s="386"/>
    </row>
    <row r="230" spans="1:8" ht="15" customHeight="1">
      <c r="A230" s="365">
        <v>219</v>
      </c>
      <c r="B230" s="366" t="s">
        <v>798</v>
      </c>
      <c r="C230" s="386"/>
      <c r="D230" s="386"/>
    </row>
    <row r="231" spans="1:8" ht="15" customHeight="1">
      <c r="A231" s="365">
        <v>220</v>
      </c>
      <c r="B231" s="366" t="s">
        <v>799</v>
      </c>
      <c r="C231" s="386">
        <v>0</v>
      </c>
      <c r="D231" s="386">
        <f>42977+966606+196165</f>
        <v>1205748</v>
      </c>
      <c r="E231" s="84">
        <v>28064</v>
      </c>
      <c r="G231" s="354">
        <v>29290</v>
      </c>
      <c r="H231" s="354">
        <v>38966</v>
      </c>
    </row>
    <row r="232" spans="1:8" ht="15" customHeight="1">
      <c r="A232" s="365">
        <v>221</v>
      </c>
      <c r="B232" s="366" t="s">
        <v>800</v>
      </c>
      <c r="C232" s="386"/>
      <c r="D232" s="386"/>
    </row>
    <row r="233" spans="1:8" ht="15" customHeight="1">
      <c r="A233" s="365">
        <v>222</v>
      </c>
      <c r="B233" s="366" t="s">
        <v>801</v>
      </c>
      <c r="C233" s="386">
        <f>SUM(C234:C235)</f>
        <v>0</v>
      </c>
      <c r="D233" s="386">
        <f>SUM(D234:D235)</f>
        <v>0</v>
      </c>
    </row>
    <row r="234" spans="1:8" ht="25.5">
      <c r="A234" s="365">
        <v>223</v>
      </c>
      <c r="B234" s="389" t="s">
        <v>839</v>
      </c>
      <c r="C234" s="386"/>
      <c r="D234" s="386"/>
    </row>
    <row r="235" spans="1:8" ht="15" customHeight="1">
      <c r="A235" s="365">
        <v>224</v>
      </c>
      <c r="B235" s="366" t="s">
        <v>802</v>
      </c>
      <c r="C235" s="386"/>
      <c r="D235" s="386"/>
    </row>
    <row r="236" spans="1:8" ht="15" customHeight="1">
      <c r="A236" s="365">
        <v>225</v>
      </c>
      <c r="B236" s="366" t="s">
        <v>803</v>
      </c>
      <c r="C236" s="386"/>
      <c r="D236" s="386"/>
    </row>
    <row r="237" spans="1:8" ht="15" customHeight="1">
      <c r="A237" s="365">
        <v>226</v>
      </c>
      <c r="B237" s="366" t="s">
        <v>804</v>
      </c>
      <c r="C237" s="386"/>
      <c r="D237" s="386"/>
    </row>
    <row r="238" spans="1:8" ht="15" customHeight="1">
      <c r="A238" s="365">
        <v>227</v>
      </c>
      <c r="B238" s="366" t="s">
        <v>805</v>
      </c>
      <c r="C238" s="386">
        <f>SUM(C239:C240)</f>
        <v>0</v>
      </c>
      <c r="D238" s="386">
        <f>SUM(D239:D240)</f>
        <v>0</v>
      </c>
    </row>
    <row r="239" spans="1:8" ht="25.5">
      <c r="A239" s="365">
        <v>228</v>
      </c>
      <c r="B239" s="389" t="s">
        <v>840</v>
      </c>
      <c r="C239" s="386"/>
      <c r="D239" s="386"/>
    </row>
    <row r="240" spans="1:8" ht="15" customHeight="1">
      <c r="A240" s="365">
        <v>229</v>
      </c>
      <c r="B240" s="366" t="s">
        <v>806</v>
      </c>
      <c r="C240" s="386"/>
      <c r="D240" s="386"/>
    </row>
    <row r="241" spans="1:8" ht="15" customHeight="1">
      <c r="A241" s="365">
        <v>230</v>
      </c>
      <c r="B241" s="366" t="s">
        <v>807</v>
      </c>
      <c r="C241" s="386">
        <f>SUM(C242:C251)</f>
        <v>0</v>
      </c>
      <c r="D241" s="386">
        <f>SUM(D242:D251)</f>
        <v>0</v>
      </c>
    </row>
    <row r="242" spans="1:8" ht="25.5">
      <c r="A242" s="365">
        <v>231</v>
      </c>
      <c r="B242" s="389" t="s">
        <v>841</v>
      </c>
      <c r="C242" s="386"/>
      <c r="D242" s="386"/>
    </row>
    <row r="243" spans="1:8" ht="15" customHeight="1">
      <c r="A243" s="365">
        <v>232</v>
      </c>
      <c r="B243" s="366" t="s">
        <v>808</v>
      </c>
      <c r="C243" s="386"/>
      <c r="D243" s="386"/>
    </row>
    <row r="244" spans="1:8" ht="15" customHeight="1">
      <c r="A244" s="365">
        <v>233</v>
      </c>
      <c r="B244" s="366" t="s">
        <v>809</v>
      </c>
      <c r="C244" s="386"/>
      <c r="D244" s="386"/>
    </row>
    <row r="245" spans="1:8" ht="15" customHeight="1">
      <c r="A245" s="365">
        <v>234</v>
      </c>
      <c r="B245" s="366" t="s">
        <v>810</v>
      </c>
      <c r="C245" s="386"/>
      <c r="D245" s="386"/>
    </row>
    <row r="246" spans="1:8" ht="25.5">
      <c r="A246" s="365">
        <v>235</v>
      </c>
      <c r="B246" s="389" t="s">
        <v>842</v>
      </c>
      <c r="C246" s="386"/>
      <c r="D246" s="386"/>
    </row>
    <row r="247" spans="1:8" ht="15" customHeight="1">
      <c r="A247" s="365">
        <v>236</v>
      </c>
      <c r="B247" s="366" t="s">
        <v>811</v>
      </c>
      <c r="C247" s="386"/>
      <c r="D247" s="386"/>
    </row>
    <row r="248" spans="1:8" ht="15" customHeight="1">
      <c r="A248" s="365">
        <v>237</v>
      </c>
      <c r="B248" s="366" t="s">
        <v>812</v>
      </c>
      <c r="C248" s="386"/>
      <c r="D248" s="386"/>
    </row>
    <row r="249" spans="1:8" ht="28.5" customHeight="1">
      <c r="A249" s="365">
        <v>238</v>
      </c>
      <c r="B249" s="389" t="s">
        <v>843</v>
      </c>
      <c r="C249" s="386"/>
      <c r="D249" s="386"/>
    </row>
    <row r="250" spans="1:8" ht="25.5">
      <c r="A250" s="365">
        <v>239</v>
      </c>
      <c r="B250" s="389" t="s">
        <v>844</v>
      </c>
      <c r="C250" s="386"/>
      <c r="D250" s="386"/>
    </row>
    <row r="251" spans="1:8" ht="15" customHeight="1">
      <c r="A251" s="365">
        <v>240</v>
      </c>
      <c r="B251" s="366" t="s">
        <v>813</v>
      </c>
      <c r="C251" s="386"/>
      <c r="D251" s="386"/>
    </row>
    <row r="252" spans="1:8" ht="17.25" customHeight="1">
      <c r="A252" s="367">
        <v>241</v>
      </c>
      <c r="B252" s="368" t="s">
        <v>814</v>
      </c>
      <c r="C252" s="387">
        <f>SUM(C241,C238,C233,C236,C237,C229,C230,C231,C232)</f>
        <v>0</v>
      </c>
      <c r="D252" s="387">
        <f>SUM(D241,D238,D233,D236,D237,D229,D230,D231,D232)</f>
        <v>1205748</v>
      </c>
    </row>
    <row r="253" spans="1:8" ht="15" customHeight="1">
      <c r="A253" s="365">
        <v>242</v>
      </c>
      <c r="B253" s="366" t="s">
        <v>815</v>
      </c>
      <c r="C253" s="386">
        <v>1413215</v>
      </c>
      <c r="D253" s="386">
        <f>15660+342889+15008</f>
        <v>373557</v>
      </c>
      <c r="E253" s="84">
        <v>467356</v>
      </c>
      <c r="H253" s="354">
        <v>2900000</v>
      </c>
    </row>
    <row r="254" spans="1:8" ht="15" customHeight="1">
      <c r="A254" s="365">
        <v>243</v>
      </c>
      <c r="B254" s="366" t="s">
        <v>816</v>
      </c>
      <c r="C254" s="386"/>
      <c r="D254" s="386"/>
    </row>
    <row r="255" spans="1:8" ht="15" customHeight="1">
      <c r="A255" s="365">
        <v>244</v>
      </c>
      <c r="B255" s="366" t="s">
        <v>817</v>
      </c>
      <c r="C255" s="386"/>
      <c r="D255" s="386"/>
    </row>
    <row r="256" spans="1:8" ht="15" customHeight="1">
      <c r="A256" s="365">
        <v>245</v>
      </c>
      <c r="B256" s="366" t="s">
        <v>818</v>
      </c>
      <c r="C256" s="386"/>
      <c r="D256" s="386"/>
    </row>
    <row r="257" spans="1:8" ht="15" customHeight="1">
      <c r="A257" s="365">
        <v>246</v>
      </c>
      <c r="B257" s="366" t="s">
        <v>819</v>
      </c>
      <c r="C257" s="386"/>
      <c r="D257" s="386"/>
    </row>
    <row r="258" spans="1:8" ht="15" customHeight="1">
      <c r="A258" s="365">
        <v>247</v>
      </c>
      <c r="B258" s="366" t="s">
        <v>820</v>
      </c>
      <c r="C258" s="386"/>
      <c r="D258" s="386"/>
    </row>
    <row r="259" spans="1:8" ht="15" customHeight="1">
      <c r="A259" s="365">
        <v>248</v>
      </c>
      <c r="B259" s="366" t="s">
        <v>821</v>
      </c>
      <c r="C259" s="386"/>
      <c r="D259" s="386"/>
    </row>
    <row r="260" spans="1:8" ht="15" customHeight="1">
      <c r="A260" s="365">
        <v>249</v>
      </c>
      <c r="B260" s="366" t="s">
        <v>822</v>
      </c>
      <c r="C260" s="386"/>
      <c r="D260" s="386"/>
    </row>
    <row r="261" spans="1:8" ht="15" customHeight="1">
      <c r="A261" s="365">
        <v>250</v>
      </c>
      <c r="B261" s="366" t="s">
        <v>823</v>
      </c>
      <c r="C261" s="386"/>
      <c r="D261" s="386"/>
    </row>
    <row r="262" spans="1:8" ht="15" customHeight="1">
      <c r="A262" s="365">
        <v>251</v>
      </c>
      <c r="B262" s="366" t="s">
        <v>824</v>
      </c>
      <c r="C262" s="386"/>
      <c r="D262" s="386"/>
    </row>
    <row r="263" spans="1:8" ht="17.25" customHeight="1">
      <c r="A263" s="367">
        <v>252</v>
      </c>
      <c r="B263" s="368" t="s">
        <v>825</v>
      </c>
      <c r="C263" s="387">
        <f>SUM(C253:C262)</f>
        <v>1413215</v>
      </c>
      <c r="D263" s="387">
        <f>SUM(D253:D262)</f>
        <v>373557</v>
      </c>
    </row>
    <row r="264" spans="1:8" ht="15" customHeight="1">
      <c r="A264" s="384">
        <v>253</v>
      </c>
      <c r="B264" s="385" t="s">
        <v>826</v>
      </c>
      <c r="C264" s="388">
        <f>SUM(C228,C252,C263)</f>
        <v>1413215</v>
      </c>
      <c r="D264" s="388">
        <f>SUM(D228,D252,D263)</f>
        <v>1579305</v>
      </c>
    </row>
    <row r="265" spans="1:8" ht="15" customHeight="1">
      <c r="A265" s="384">
        <v>254</v>
      </c>
      <c r="B265" s="385" t="s">
        <v>827</v>
      </c>
      <c r="C265" s="388"/>
      <c r="D265" s="388"/>
    </row>
    <row r="266" spans="1:8" ht="15" customHeight="1">
      <c r="A266" s="367">
        <v>255</v>
      </c>
      <c r="B266" s="368" t="s">
        <v>828</v>
      </c>
      <c r="C266" s="387">
        <v>164111</v>
      </c>
      <c r="D266" s="387">
        <f>166573</f>
        <v>166573</v>
      </c>
      <c r="E266" s="84">
        <v>0</v>
      </c>
    </row>
    <row r="267" spans="1:8" ht="15" customHeight="1">
      <c r="A267" s="367">
        <v>256</v>
      </c>
      <c r="B267" s="368" t="s">
        <v>829</v>
      </c>
      <c r="C267" s="387">
        <v>34186552</v>
      </c>
      <c r="D267" s="387">
        <f>6104867+17256456+11687438</f>
        <v>35048761</v>
      </c>
      <c r="E267" s="84">
        <v>4548968</v>
      </c>
      <c r="F267" s="354">
        <v>311310</v>
      </c>
      <c r="G267" s="354">
        <v>8876476</v>
      </c>
      <c r="H267" s="354">
        <v>14944781</v>
      </c>
    </row>
    <row r="268" spans="1:8" ht="15" customHeight="1">
      <c r="A268" s="367">
        <v>257</v>
      </c>
      <c r="B268" s="368" t="s">
        <v>830</v>
      </c>
      <c r="C268" s="387">
        <v>171303299</v>
      </c>
      <c r="D268" s="387">
        <f>2476536+164555345</f>
        <v>167031881</v>
      </c>
      <c r="F268" s="354">
        <v>133779600</v>
      </c>
    </row>
    <row r="269" spans="1:8" ht="15" customHeight="1">
      <c r="A269" s="384">
        <v>258</v>
      </c>
      <c r="B269" s="385" t="s">
        <v>831</v>
      </c>
      <c r="C269" s="388">
        <f>SUM(C266:C268)</f>
        <v>205653962</v>
      </c>
      <c r="D269" s="388">
        <f>SUM(D266:D268)</f>
        <v>202247215</v>
      </c>
    </row>
    <row r="270" spans="1:8" ht="15" customHeight="1">
      <c r="A270" s="384">
        <v>259</v>
      </c>
      <c r="B270" s="385" t="s">
        <v>832</v>
      </c>
      <c r="C270" s="388">
        <f>SUM(C201,C264,C265,C269)</f>
        <v>237113160</v>
      </c>
      <c r="D270" s="388">
        <f>SUM(D201,D264,D265,D269)</f>
        <v>218288417</v>
      </c>
    </row>
    <row r="271" spans="1:8">
      <c r="A271" s="257"/>
      <c r="B271" s="245"/>
      <c r="C271" s="221"/>
      <c r="D271" s="221"/>
    </row>
    <row r="272" spans="1:8">
      <c r="A272" s="257"/>
      <c r="B272" s="245"/>
      <c r="C272" s="221"/>
      <c r="D272" s="221"/>
    </row>
    <row r="273" spans="1:4">
      <c r="A273" s="257"/>
      <c r="B273" s="245"/>
      <c r="C273" s="221"/>
      <c r="D273" s="221"/>
    </row>
    <row r="274" spans="1:4">
      <c r="A274" s="257"/>
      <c r="B274" s="245"/>
      <c r="C274" s="221"/>
      <c r="D274" s="221"/>
    </row>
    <row r="275" spans="1:4">
      <c r="A275" s="257"/>
      <c r="B275" s="245"/>
      <c r="C275" s="221"/>
      <c r="D275" s="221"/>
    </row>
    <row r="276" spans="1:4">
      <c r="A276" s="257"/>
      <c r="B276" s="245"/>
      <c r="C276" s="221"/>
      <c r="D276" s="221"/>
    </row>
    <row r="277" spans="1:4">
      <c r="A277" s="257"/>
      <c r="B277" s="245"/>
      <c r="C277" s="221"/>
      <c r="D277" s="221"/>
    </row>
    <row r="278" spans="1:4">
      <c r="A278" s="257"/>
      <c r="B278" s="245"/>
      <c r="C278" s="221"/>
      <c r="D278" s="221"/>
    </row>
    <row r="279" spans="1:4">
      <c r="A279" s="257"/>
      <c r="B279" s="245"/>
      <c r="C279" s="221"/>
      <c r="D279" s="221"/>
    </row>
    <row r="280" spans="1:4">
      <c r="A280" s="257"/>
      <c r="B280" s="245"/>
      <c r="C280" s="221"/>
      <c r="D280" s="221"/>
    </row>
    <row r="281" spans="1:4">
      <c r="A281" s="257"/>
      <c r="B281" s="245"/>
      <c r="C281" s="221"/>
      <c r="D281" s="221"/>
    </row>
    <row r="282" spans="1:4">
      <c r="A282" s="257"/>
      <c r="B282" s="245"/>
      <c r="C282" s="221"/>
      <c r="D282" s="221"/>
    </row>
    <row r="283" spans="1:4">
      <c r="A283" s="257"/>
      <c r="B283" s="245"/>
      <c r="C283" s="221"/>
      <c r="D283" s="221"/>
    </row>
    <row r="284" spans="1:4">
      <c r="A284" s="257"/>
      <c r="B284" s="245"/>
      <c r="C284" s="221"/>
      <c r="D284" s="221"/>
    </row>
    <row r="285" spans="1:4">
      <c r="A285" s="257"/>
      <c r="B285" s="245"/>
      <c r="C285" s="221"/>
      <c r="D285" s="221"/>
    </row>
    <row r="286" spans="1:4">
      <c r="A286" s="257"/>
      <c r="B286" s="245"/>
      <c r="C286" s="221"/>
      <c r="D286" s="221"/>
    </row>
    <row r="287" spans="1:4">
      <c r="A287" s="257"/>
      <c r="B287" s="245"/>
      <c r="C287" s="221"/>
      <c r="D287" s="221"/>
    </row>
    <row r="288" spans="1:4">
      <c r="A288" s="257"/>
      <c r="B288" s="245"/>
      <c r="C288" s="221"/>
      <c r="D288" s="221"/>
    </row>
    <row r="289" spans="1:4">
      <c r="A289" s="257"/>
      <c r="B289" s="245"/>
      <c r="C289" s="221"/>
      <c r="D289" s="221"/>
    </row>
    <row r="290" spans="1:4">
      <c r="A290" s="257"/>
      <c r="B290" s="245"/>
      <c r="C290" s="221"/>
      <c r="D290" s="221"/>
    </row>
    <row r="291" spans="1:4">
      <c r="A291" s="257"/>
      <c r="B291" s="245"/>
      <c r="C291" s="221"/>
      <c r="D291" s="221"/>
    </row>
    <row r="292" spans="1:4">
      <c r="A292" s="257"/>
      <c r="B292" s="245"/>
      <c r="C292" s="221"/>
      <c r="D292" s="221"/>
    </row>
    <row r="293" spans="1:4">
      <c r="A293" s="257"/>
      <c r="B293" s="245"/>
      <c r="C293" s="221"/>
      <c r="D293" s="221"/>
    </row>
    <row r="294" spans="1:4">
      <c r="A294" s="257"/>
      <c r="B294" s="245"/>
      <c r="C294" s="221"/>
      <c r="D294" s="221"/>
    </row>
    <row r="295" spans="1:4">
      <c r="A295" s="257"/>
      <c r="B295" s="245"/>
      <c r="C295" s="221"/>
      <c r="D295" s="221"/>
    </row>
    <row r="296" spans="1:4">
      <c r="A296" s="257"/>
      <c r="B296" s="245"/>
      <c r="C296" s="221"/>
      <c r="D296" s="221"/>
    </row>
    <row r="297" spans="1:4">
      <c r="A297" s="257"/>
      <c r="B297" s="245"/>
      <c r="C297" s="221"/>
      <c r="D297" s="221"/>
    </row>
    <row r="298" spans="1:4">
      <c r="A298" s="257"/>
      <c r="B298" s="245"/>
      <c r="C298" s="221"/>
      <c r="D298" s="221"/>
    </row>
    <row r="299" spans="1:4">
      <c r="A299" s="257"/>
      <c r="B299" s="245"/>
      <c r="C299" s="221"/>
      <c r="D299" s="221"/>
    </row>
    <row r="300" spans="1:4">
      <c r="A300" s="257"/>
      <c r="B300" s="245"/>
      <c r="C300" s="221"/>
      <c r="D300" s="221"/>
    </row>
    <row r="301" spans="1:4">
      <c r="A301" s="257"/>
      <c r="B301" s="245"/>
      <c r="C301" s="221"/>
      <c r="D301" s="221"/>
    </row>
    <row r="302" spans="1:4">
      <c r="A302" s="257"/>
      <c r="B302" s="245"/>
      <c r="C302" s="221"/>
      <c r="D302" s="221"/>
    </row>
    <row r="303" spans="1:4">
      <c r="A303" s="257"/>
      <c r="B303" s="245"/>
      <c r="C303" s="221"/>
      <c r="D303" s="221"/>
    </row>
    <row r="304" spans="1:4">
      <c r="A304" s="257"/>
      <c r="B304" s="245"/>
      <c r="C304" s="221"/>
      <c r="D304" s="221"/>
    </row>
    <row r="305" spans="1:4">
      <c r="A305" s="257"/>
      <c r="B305" s="245"/>
      <c r="C305" s="221"/>
      <c r="D305" s="221"/>
    </row>
    <row r="306" spans="1:4">
      <c r="A306" s="257"/>
      <c r="B306" s="245"/>
      <c r="C306" s="221"/>
      <c r="D306" s="221"/>
    </row>
    <row r="307" spans="1:4">
      <c r="A307" s="257"/>
      <c r="B307" s="245"/>
      <c r="C307" s="221"/>
      <c r="D307" s="221"/>
    </row>
    <row r="308" spans="1:4">
      <c r="A308" s="257"/>
      <c r="B308" s="245"/>
      <c r="C308" s="221"/>
      <c r="D308" s="221"/>
    </row>
    <row r="309" spans="1:4">
      <c r="A309" s="257"/>
      <c r="B309" s="245"/>
      <c r="C309" s="221"/>
      <c r="D309" s="221"/>
    </row>
    <row r="310" spans="1:4">
      <c r="A310" s="257"/>
      <c r="B310" s="245"/>
      <c r="C310" s="221"/>
      <c r="D310" s="221"/>
    </row>
    <row r="311" spans="1:4">
      <c r="A311" s="257"/>
      <c r="B311" s="245"/>
      <c r="C311" s="221"/>
      <c r="D311" s="221"/>
    </row>
    <row r="312" spans="1:4">
      <c r="A312" s="257"/>
      <c r="B312" s="245"/>
      <c r="C312" s="221"/>
      <c r="D312" s="221"/>
    </row>
    <row r="313" spans="1:4">
      <c r="A313" s="257"/>
      <c r="B313" s="245"/>
      <c r="C313" s="221"/>
      <c r="D313" s="221"/>
    </row>
    <row r="314" spans="1:4">
      <c r="A314" s="257"/>
      <c r="B314" s="245"/>
      <c r="C314" s="221"/>
      <c r="D314" s="221"/>
    </row>
    <row r="315" spans="1:4">
      <c r="A315" s="257"/>
      <c r="B315" s="245"/>
      <c r="C315" s="221"/>
      <c r="D315" s="221"/>
    </row>
    <row r="316" spans="1:4">
      <c r="A316" s="257"/>
      <c r="B316" s="245"/>
      <c r="C316" s="221"/>
      <c r="D316" s="221"/>
    </row>
    <row r="317" spans="1:4">
      <c r="A317" s="257"/>
      <c r="B317" s="245"/>
      <c r="C317" s="221"/>
      <c r="D317" s="221"/>
    </row>
    <row r="318" spans="1:4">
      <c r="A318" s="257"/>
      <c r="B318" s="245"/>
      <c r="C318" s="221"/>
      <c r="D318" s="221"/>
    </row>
    <row r="319" spans="1:4">
      <c r="A319" s="257"/>
      <c r="B319" s="245"/>
      <c r="C319" s="221"/>
      <c r="D319" s="221"/>
    </row>
    <row r="320" spans="1:4">
      <c r="A320" s="257"/>
      <c r="B320" s="245"/>
      <c r="C320" s="221"/>
      <c r="D320" s="221"/>
    </row>
    <row r="321" spans="1:4">
      <c r="A321" s="257"/>
      <c r="B321" s="245"/>
      <c r="C321" s="221"/>
      <c r="D321" s="221"/>
    </row>
    <row r="322" spans="1:4">
      <c r="A322" s="257"/>
      <c r="B322" s="245"/>
      <c r="C322" s="221"/>
      <c r="D322" s="221"/>
    </row>
    <row r="323" spans="1:4">
      <c r="A323" s="257"/>
      <c r="B323" s="245"/>
      <c r="C323" s="221"/>
      <c r="D323" s="221"/>
    </row>
    <row r="324" spans="1:4">
      <c r="A324" s="257"/>
      <c r="B324" s="245"/>
      <c r="C324" s="221"/>
      <c r="D324" s="221"/>
    </row>
    <row r="325" spans="1:4">
      <c r="A325" s="257"/>
      <c r="B325" s="245"/>
      <c r="C325" s="221"/>
      <c r="D325" s="221"/>
    </row>
    <row r="326" spans="1:4">
      <c r="A326" s="257"/>
      <c r="B326" s="245"/>
      <c r="C326" s="221"/>
      <c r="D326" s="221"/>
    </row>
    <row r="327" spans="1:4">
      <c r="A327" s="257"/>
      <c r="B327" s="245"/>
      <c r="C327" s="221"/>
      <c r="D327" s="221"/>
    </row>
    <row r="328" spans="1:4">
      <c r="A328" s="257"/>
      <c r="B328" s="245"/>
      <c r="C328" s="221"/>
      <c r="D328" s="221"/>
    </row>
    <row r="329" spans="1:4">
      <c r="A329" s="257"/>
      <c r="B329" s="245"/>
      <c r="C329" s="221"/>
      <c r="D329" s="221"/>
    </row>
    <row r="330" spans="1:4">
      <c r="A330" s="257"/>
      <c r="B330" s="245"/>
      <c r="C330" s="221"/>
      <c r="D330" s="221"/>
    </row>
    <row r="331" spans="1:4">
      <c r="A331" s="257"/>
      <c r="B331" s="245"/>
      <c r="C331" s="221"/>
      <c r="D331" s="221"/>
    </row>
    <row r="332" spans="1:4">
      <c r="A332" s="257"/>
      <c r="B332" s="245"/>
      <c r="C332" s="221"/>
      <c r="D332" s="221"/>
    </row>
    <row r="333" spans="1:4">
      <c r="A333" s="257"/>
      <c r="B333" s="245"/>
      <c r="C333" s="221"/>
      <c r="D333" s="221"/>
    </row>
    <row r="334" spans="1:4">
      <c r="A334" s="257"/>
      <c r="B334" s="245"/>
      <c r="C334" s="221"/>
      <c r="D334" s="221"/>
    </row>
    <row r="335" spans="1:4">
      <c r="A335" s="257"/>
      <c r="B335" s="245"/>
      <c r="C335" s="221"/>
      <c r="D335" s="221"/>
    </row>
    <row r="336" spans="1:4">
      <c r="A336" s="257"/>
      <c r="B336" s="245"/>
      <c r="C336" s="221"/>
      <c r="D336" s="221"/>
    </row>
    <row r="337" spans="1:1">
      <c r="A337" s="15"/>
    </row>
    <row r="338" spans="1:1">
      <c r="A338" s="15"/>
    </row>
    <row r="339" spans="1:1">
      <c r="A339" s="15"/>
    </row>
    <row r="340" spans="1:1">
      <c r="A340" s="15"/>
    </row>
    <row r="341" spans="1:1">
      <c r="A341" s="15"/>
    </row>
    <row r="342" spans="1:1">
      <c r="A342" s="15"/>
    </row>
    <row r="343" spans="1:1">
      <c r="A343" s="15"/>
    </row>
    <row r="344" spans="1:1">
      <c r="A344" s="15"/>
    </row>
    <row r="345" spans="1:1">
      <c r="A345" s="15"/>
    </row>
    <row r="346" spans="1:1">
      <c r="A346" s="15"/>
    </row>
    <row r="347" spans="1:1">
      <c r="A347" s="15"/>
    </row>
    <row r="348" spans="1:1">
      <c r="A348" s="15"/>
    </row>
    <row r="349" spans="1:1">
      <c r="A349" s="15"/>
    </row>
    <row r="350" spans="1:1">
      <c r="A350" s="15"/>
    </row>
    <row r="351" spans="1:1">
      <c r="A351" s="15"/>
    </row>
    <row r="352" spans="1:1">
      <c r="A352" s="15"/>
    </row>
    <row r="353" spans="1:1">
      <c r="A353" s="15"/>
    </row>
    <row r="354" spans="1:1">
      <c r="A354" s="15"/>
    </row>
    <row r="355" spans="1:1">
      <c r="A355" s="15"/>
    </row>
    <row r="356" spans="1:1">
      <c r="A356" s="15"/>
    </row>
    <row r="357" spans="1:1">
      <c r="A357" s="15"/>
    </row>
    <row r="358" spans="1:1">
      <c r="A358" s="15"/>
    </row>
    <row r="359" spans="1:1">
      <c r="A359" s="15"/>
    </row>
    <row r="360" spans="1:1">
      <c r="A360" s="15"/>
    </row>
    <row r="361" spans="1:1">
      <c r="A361" s="15"/>
    </row>
    <row r="362" spans="1:1">
      <c r="A362" s="15"/>
    </row>
    <row r="363" spans="1:1">
      <c r="A363" s="15"/>
    </row>
    <row r="364" spans="1:1">
      <c r="A364" s="15"/>
    </row>
    <row r="365" spans="1:1">
      <c r="A365" s="15"/>
    </row>
    <row r="366" spans="1:1">
      <c r="A366" s="15"/>
    </row>
    <row r="367" spans="1:1">
      <c r="A367" s="15"/>
    </row>
    <row r="368" spans="1:1">
      <c r="A368" s="15"/>
    </row>
    <row r="369" spans="1:1">
      <c r="A369" s="15"/>
    </row>
    <row r="370" spans="1:1">
      <c r="A370" s="15"/>
    </row>
    <row r="371" spans="1:1">
      <c r="A371" s="15"/>
    </row>
    <row r="372" spans="1:1">
      <c r="A372" s="15"/>
    </row>
    <row r="373" spans="1:1">
      <c r="A373" s="15"/>
    </row>
    <row r="374" spans="1:1">
      <c r="A374" s="15"/>
    </row>
    <row r="375" spans="1:1">
      <c r="A375" s="15"/>
    </row>
    <row r="376" spans="1:1">
      <c r="A376" s="15"/>
    </row>
    <row r="377" spans="1:1">
      <c r="A377" s="15"/>
    </row>
    <row r="378" spans="1:1">
      <c r="A378" s="15"/>
    </row>
    <row r="379" spans="1:1">
      <c r="A379" s="15"/>
    </row>
    <row r="380" spans="1:1">
      <c r="A380" s="15"/>
    </row>
    <row r="381" spans="1:1">
      <c r="A381" s="15"/>
    </row>
    <row r="382" spans="1:1">
      <c r="A382" s="15"/>
    </row>
    <row r="383" spans="1:1">
      <c r="A383" s="15"/>
    </row>
    <row r="384" spans="1:1">
      <c r="A384" s="15"/>
    </row>
    <row r="385" spans="1:1">
      <c r="A385" s="15"/>
    </row>
    <row r="386" spans="1:1">
      <c r="A386" s="15"/>
    </row>
    <row r="387" spans="1:1">
      <c r="A387" s="15"/>
    </row>
    <row r="388" spans="1:1">
      <c r="A388" s="15"/>
    </row>
    <row r="389" spans="1:1">
      <c r="A389" s="15"/>
    </row>
    <row r="390" spans="1:1">
      <c r="A390" s="15"/>
    </row>
    <row r="391" spans="1:1">
      <c r="A391" s="15"/>
    </row>
    <row r="392" spans="1:1">
      <c r="A392" s="15"/>
    </row>
    <row r="393" spans="1:1">
      <c r="A393" s="15"/>
    </row>
    <row r="394" spans="1:1">
      <c r="A394" s="15"/>
    </row>
    <row r="395" spans="1:1">
      <c r="A395" s="15"/>
    </row>
    <row r="396" spans="1:1">
      <c r="A396" s="15"/>
    </row>
    <row r="397" spans="1:1">
      <c r="A397" s="15"/>
    </row>
    <row r="398" spans="1:1">
      <c r="A398" s="15"/>
    </row>
    <row r="399" spans="1:1">
      <c r="A399" s="15"/>
    </row>
    <row r="400" spans="1:1">
      <c r="A400" s="15"/>
    </row>
    <row r="401" spans="1:1">
      <c r="A401" s="15"/>
    </row>
    <row r="402" spans="1:1">
      <c r="A402" s="15"/>
    </row>
    <row r="403" spans="1:1">
      <c r="A403" s="15"/>
    </row>
    <row r="404" spans="1:1">
      <c r="A404" s="15"/>
    </row>
    <row r="405" spans="1:1">
      <c r="A405" s="15"/>
    </row>
    <row r="406" spans="1:1">
      <c r="A406" s="15"/>
    </row>
    <row r="407" spans="1:1">
      <c r="A407" s="15"/>
    </row>
    <row r="408" spans="1:1">
      <c r="A408" s="15"/>
    </row>
    <row r="409" spans="1:1">
      <c r="A409" s="15"/>
    </row>
    <row r="410" spans="1:1">
      <c r="A410" s="15"/>
    </row>
    <row r="411" spans="1:1">
      <c r="A411" s="15"/>
    </row>
    <row r="412" spans="1:1">
      <c r="A412" s="15"/>
    </row>
    <row r="413" spans="1:1">
      <c r="A413" s="15"/>
    </row>
    <row r="414" spans="1:1">
      <c r="A414" s="15"/>
    </row>
    <row r="415" spans="1:1">
      <c r="A415" s="15"/>
    </row>
    <row r="416" spans="1:1">
      <c r="A416" s="15"/>
    </row>
    <row r="417" spans="1:1">
      <c r="A417" s="15"/>
    </row>
    <row r="418" spans="1:1">
      <c r="A418" s="15"/>
    </row>
    <row r="419" spans="1:1">
      <c r="A419" s="15"/>
    </row>
    <row r="420" spans="1:1">
      <c r="A420" s="15"/>
    </row>
    <row r="421" spans="1:1">
      <c r="A421" s="15"/>
    </row>
    <row r="422" spans="1:1">
      <c r="A422" s="15"/>
    </row>
    <row r="423" spans="1:1">
      <c r="A423" s="15"/>
    </row>
    <row r="424" spans="1:1">
      <c r="A424" s="15"/>
    </row>
    <row r="425" spans="1:1">
      <c r="A425" s="15"/>
    </row>
    <row r="426" spans="1:1">
      <c r="A426" s="15"/>
    </row>
    <row r="427" spans="1:1">
      <c r="A427" s="15"/>
    </row>
    <row r="428" spans="1:1">
      <c r="A428" s="15"/>
    </row>
    <row r="429" spans="1:1">
      <c r="A429" s="15"/>
    </row>
    <row r="430" spans="1:1">
      <c r="A430" s="15"/>
    </row>
    <row r="431" spans="1:1">
      <c r="A431" s="15"/>
    </row>
    <row r="432" spans="1:1">
      <c r="A432" s="15"/>
    </row>
    <row r="433" spans="1:1">
      <c r="A433" s="15"/>
    </row>
    <row r="434" spans="1:1">
      <c r="A434" s="15"/>
    </row>
    <row r="435" spans="1:1">
      <c r="A435" s="15"/>
    </row>
    <row r="436" spans="1:1">
      <c r="A436" s="15"/>
    </row>
    <row r="437" spans="1:1">
      <c r="A437" s="15"/>
    </row>
    <row r="438" spans="1:1">
      <c r="A438" s="15"/>
    </row>
    <row r="439" spans="1:1">
      <c r="A439" s="15"/>
    </row>
    <row r="440" spans="1:1">
      <c r="A440" s="15"/>
    </row>
    <row r="441" spans="1:1">
      <c r="A441" s="15"/>
    </row>
    <row r="442" spans="1:1">
      <c r="A442" s="15"/>
    </row>
    <row r="443" spans="1:1">
      <c r="A443" s="15"/>
    </row>
    <row r="444" spans="1:1">
      <c r="A444" s="15"/>
    </row>
    <row r="445" spans="1:1">
      <c r="A445" s="15"/>
    </row>
    <row r="446" spans="1:1">
      <c r="A446" s="15"/>
    </row>
    <row r="447" spans="1:1">
      <c r="A447" s="15"/>
    </row>
    <row r="448" spans="1:1">
      <c r="A448" s="15"/>
    </row>
    <row r="449" spans="1:1">
      <c r="A449" s="15"/>
    </row>
    <row r="450" spans="1:1">
      <c r="A450" s="15"/>
    </row>
    <row r="451" spans="1:1">
      <c r="A451" s="15"/>
    </row>
    <row r="452" spans="1:1">
      <c r="A452" s="15"/>
    </row>
    <row r="453" spans="1:1">
      <c r="A453" s="15"/>
    </row>
    <row r="454" spans="1:1">
      <c r="A454" s="15"/>
    </row>
    <row r="455" spans="1:1">
      <c r="A455" s="15"/>
    </row>
    <row r="456" spans="1:1">
      <c r="A456" s="15"/>
    </row>
    <row r="457" spans="1:1">
      <c r="A457" s="15"/>
    </row>
    <row r="458" spans="1:1">
      <c r="A458" s="15"/>
    </row>
    <row r="459" spans="1:1">
      <c r="A459" s="15"/>
    </row>
    <row r="460" spans="1:1">
      <c r="A460" s="15"/>
    </row>
    <row r="461" spans="1:1">
      <c r="A461" s="15"/>
    </row>
    <row r="462" spans="1:1">
      <c r="A462" s="15"/>
    </row>
    <row r="463" spans="1:1">
      <c r="A463" s="15"/>
    </row>
    <row r="464" spans="1:1">
      <c r="A464" s="15"/>
    </row>
    <row r="465" spans="1:1">
      <c r="A465" s="15"/>
    </row>
    <row r="466" spans="1:1">
      <c r="A466" s="15"/>
    </row>
    <row r="467" spans="1:1">
      <c r="A467" s="15"/>
    </row>
    <row r="468" spans="1:1">
      <c r="A468" s="15"/>
    </row>
    <row r="469" spans="1:1">
      <c r="A469" s="15"/>
    </row>
    <row r="470" spans="1:1">
      <c r="A470" s="15"/>
    </row>
    <row r="471" spans="1:1">
      <c r="A471" s="15"/>
    </row>
    <row r="472" spans="1:1">
      <c r="A472" s="15"/>
    </row>
    <row r="473" spans="1:1">
      <c r="A473" s="15"/>
    </row>
    <row r="474" spans="1:1">
      <c r="A474" s="15"/>
    </row>
    <row r="475" spans="1:1">
      <c r="A475" s="15"/>
    </row>
    <row r="476" spans="1:1">
      <c r="A476" s="15"/>
    </row>
    <row r="477" spans="1:1">
      <c r="A477" s="15"/>
    </row>
    <row r="478" spans="1:1">
      <c r="A478" s="15"/>
    </row>
    <row r="479" spans="1:1">
      <c r="A479" s="15"/>
    </row>
    <row r="480" spans="1:1">
      <c r="A480" s="15"/>
    </row>
    <row r="481" spans="1:1">
      <c r="A481" s="15"/>
    </row>
    <row r="482" spans="1:1">
      <c r="A482" s="15"/>
    </row>
    <row r="483" spans="1:1">
      <c r="A483" s="15"/>
    </row>
    <row r="484" spans="1:1">
      <c r="A484" s="15"/>
    </row>
    <row r="485" spans="1:1">
      <c r="A485" s="15"/>
    </row>
    <row r="486" spans="1:1">
      <c r="A486" s="15"/>
    </row>
    <row r="487" spans="1:1">
      <c r="A487" s="15"/>
    </row>
    <row r="488" spans="1:1">
      <c r="A488" s="15"/>
    </row>
    <row r="489" spans="1:1">
      <c r="A489" s="15"/>
    </row>
    <row r="490" spans="1:1">
      <c r="A490" s="15"/>
    </row>
    <row r="491" spans="1:1">
      <c r="A491" s="15"/>
    </row>
    <row r="492" spans="1:1">
      <c r="A492" s="15"/>
    </row>
    <row r="493" spans="1:1">
      <c r="A493" s="15"/>
    </row>
    <row r="494" spans="1:1">
      <c r="A494" s="15"/>
    </row>
    <row r="495" spans="1:1">
      <c r="A495" s="15"/>
    </row>
    <row r="496" spans="1:1">
      <c r="A496" s="15"/>
    </row>
    <row r="497" spans="1:1">
      <c r="A497" s="15"/>
    </row>
    <row r="498" spans="1:1">
      <c r="A498" s="15"/>
    </row>
    <row r="499" spans="1:1">
      <c r="A499" s="15"/>
    </row>
    <row r="500" spans="1:1">
      <c r="A500" s="15"/>
    </row>
    <row r="501" spans="1:1">
      <c r="A501" s="15"/>
    </row>
    <row r="502" spans="1:1">
      <c r="A502" s="15"/>
    </row>
    <row r="503" spans="1:1">
      <c r="A503" s="15"/>
    </row>
    <row r="504" spans="1:1">
      <c r="A504" s="15"/>
    </row>
    <row r="505" spans="1:1">
      <c r="A505" s="15"/>
    </row>
    <row r="506" spans="1:1">
      <c r="A506" s="15"/>
    </row>
    <row r="507" spans="1:1">
      <c r="A507" s="15"/>
    </row>
    <row r="508" spans="1:1">
      <c r="A508" s="15"/>
    </row>
    <row r="509" spans="1:1">
      <c r="A509" s="15"/>
    </row>
    <row r="510" spans="1:1">
      <c r="A510" s="15"/>
    </row>
    <row r="511" spans="1:1">
      <c r="A511" s="15"/>
    </row>
    <row r="512" spans="1:1">
      <c r="A512" s="15"/>
    </row>
    <row r="513" spans="1:1">
      <c r="A513" s="15"/>
    </row>
    <row r="514" spans="1:1">
      <c r="A514" s="15"/>
    </row>
    <row r="515" spans="1:1">
      <c r="A515" s="15"/>
    </row>
    <row r="516" spans="1:1">
      <c r="A516" s="15"/>
    </row>
    <row r="517" spans="1:1">
      <c r="A517" s="15"/>
    </row>
    <row r="518" spans="1:1">
      <c r="A518" s="15"/>
    </row>
    <row r="519" spans="1:1">
      <c r="A519" s="15"/>
    </row>
    <row r="520" spans="1:1">
      <c r="A520" s="15"/>
    </row>
    <row r="521" spans="1:1">
      <c r="A521" s="15"/>
    </row>
    <row r="522" spans="1:1">
      <c r="A522" s="15"/>
    </row>
    <row r="523" spans="1:1">
      <c r="A523" s="15"/>
    </row>
    <row r="524" spans="1:1">
      <c r="A524" s="15"/>
    </row>
    <row r="525" spans="1:1">
      <c r="A525" s="15"/>
    </row>
    <row r="526" spans="1:1">
      <c r="A526" s="15"/>
    </row>
    <row r="527" spans="1:1">
      <c r="A527" s="15"/>
    </row>
    <row r="528" spans="1:1">
      <c r="A528" s="15"/>
    </row>
    <row r="529" spans="1:1">
      <c r="A529" s="15"/>
    </row>
    <row r="530" spans="1:1">
      <c r="A530" s="15"/>
    </row>
    <row r="531" spans="1:1">
      <c r="A531" s="15"/>
    </row>
    <row r="532" spans="1:1">
      <c r="A532" s="15"/>
    </row>
    <row r="533" spans="1:1">
      <c r="A533" s="15"/>
    </row>
    <row r="534" spans="1:1">
      <c r="A534" s="15"/>
    </row>
    <row r="535" spans="1:1">
      <c r="A535" s="15"/>
    </row>
    <row r="536" spans="1:1">
      <c r="A536" s="15"/>
    </row>
    <row r="537" spans="1:1">
      <c r="A537" s="15"/>
    </row>
    <row r="538" spans="1:1">
      <c r="A538" s="15"/>
    </row>
    <row r="539" spans="1:1">
      <c r="A539" s="15"/>
    </row>
    <row r="540" spans="1:1">
      <c r="A540" s="15"/>
    </row>
    <row r="541" spans="1:1">
      <c r="A541" s="15"/>
    </row>
    <row r="542" spans="1:1">
      <c r="A542" s="15"/>
    </row>
    <row r="543" spans="1:1">
      <c r="A543" s="15"/>
    </row>
    <row r="544" spans="1:1">
      <c r="A544" s="15"/>
    </row>
    <row r="545" spans="1:1">
      <c r="A545" s="15"/>
    </row>
    <row r="546" spans="1:1">
      <c r="A546" s="15"/>
    </row>
    <row r="547" spans="1:1">
      <c r="A547" s="15"/>
    </row>
    <row r="548" spans="1:1">
      <c r="A548" s="15"/>
    </row>
    <row r="549" spans="1:1">
      <c r="A549" s="15"/>
    </row>
    <row r="550" spans="1:1">
      <c r="A550" s="15"/>
    </row>
    <row r="551" spans="1:1">
      <c r="A551" s="15"/>
    </row>
    <row r="552" spans="1:1">
      <c r="A552" s="15"/>
    </row>
    <row r="553" spans="1:1">
      <c r="A553" s="15"/>
    </row>
    <row r="554" spans="1:1">
      <c r="A554" s="15"/>
    </row>
    <row r="555" spans="1:1">
      <c r="A555" s="15"/>
    </row>
    <row r="556" spans="1:1">
      <c r="A556" s="15"/>
    </row>
    <row r="557" spans="1:1">
      <c r="A557" s="15"/>
    </row>
    <row r="558" spans="1:1">
      <c r="A558" s="15"/>
    </row>
    <row r="559" spans="1:1">
      <c r="A559" s="15"/>
    </row>
    <row r="560" spans="1:1">
      <c r="A560" s="15"/>
    </row>
    <row r="561" spans="1:1">
      <c r="A561" s="15"/>
    </row>
    <row r="562" spans="1:1">
      <c r="A562" s="15"/>
    </row>
    <row r="563" spans="1:1">
      <c r="A563" s="15"/>
    </row>
    <row r="564" spans="1:1">
      <c r="A564" s="15"/>
    </row>
    <row r="565" spans="1:1">
      <c r="A565" s="15"/>
    </row>
    <row r="566" spans="1:1">
      <c r="A566" s="15"/>
    </row>
    <row r="567" spans="1:1">
      <c r="A567" s="15"/>
    </row>
    <row r="568" spans="1:1">
      <c r="A568" s="15"/>
    </row>
    <row r="569" spans="1:1">
      <c r="A569" s="15"/>
    </row>
    <row r="570" spans="1:1">
      <c r="A570" s="15"/>
    </row>
    <row r="571" spans="1:1">
      <c r="A571" s="15"/>
    </row>
    <row r="572" spans="1:1">
      <c r="A572" s="15"/>
    </row>
    <row r="573" spans="1:1">
      <c r="A573" s="15"/>
    </row>
    <row r="574" spans="1:1">
      <c r="A574" s="15"/>
    </row>
    <row r="575" spans="1:1">
      <c r="A575" s="15"/>
    </row>
    <row r="576" spans="1:1">
      <c r="A576" s="15"/>
    </row>
    <row r="577" spans="1:1">
      <c r="A577" s="15"/>
    </row>
    <row r="578" spans="1:1">
      <c r="A578" s="15"/>
    </row>
    <row r="579" spans="1:1">
      <c r="A579" s="15"/>
    </row>
    <row r="580" spans="1:1">
      <c r="A580" s="15"/>
    </row>
    <row r="581" spans="1:1">
      <c r="A581" s="15"/>
    </row>
    <row r="582" spans="1:1">
      <c r="A582" s="15"/>
    </row>
    <row r="583" spans="1:1">
      <c r="A583" s="15"/>
    </row>
    <row r="584" spans="1:1">
      <c r="A584" s="15"/>
    </row>
    <row r="585" spans="1:1">
      <c r="A585" s="15"/>
    </row>
    <row r="586" spans="1:1">
      <c r="A586" s="15"/>
    </row>
    <row r="587" spans="1:1">
      <c r="A587" s="15"/>
    </row>
    <row r="588" spans="1:1">
      <c r="A588" s="15"/>
    </row>
    <row r="589" spans="1:1">
      <c r="A589" s="15"/>
    </row>
    <row r="590" spans="1:1">
      <c r="A590" s="15"/>
    </row>
    <row r="591" spans="1:1">
      <c r="A591" s="15"/>
    </row>
    <row r="592" spans="1:1">
      <c r="A592" s="15"/>
    </row>
    <row r="593" spans="1:1">
      <c r="A593" s="15"/>
    </row>
    <row r="594" spans="1:1">
      <c r="A594" s="15"/>
    </row>
    <row r="595" spans="1:1">
      <c r="A595" s="15"/>
    </row>
    <row r="596" spans="1:1">
      <c r="A596" s="15"/>
    </row>
    <row r="597" spans="1:1">
      <c r="A597" s="15"/>
    </row>
    <row r="598" spans="1:1">
      <c r="A598" s="15"/>
    </row>
    <row r="599" spans="1:1">
      <c r="A599" s="15"/>
    </row>
    <row r="600" spans="1:1">
      <c r="A600" s="15"/>
    </row>
    <row r="601" spans="1:1">
      <c r="A601" s="15"/>
    </row>
    <row r="602" spans="1:1">
      <c r="A602" s="15"/>
    </row>
    <row r="603" spans="1:1">
      <c r="A603" s="15"/>
    </row>
    <row r="604" spans="1:1">
      <c r="A604" s="15"/>
    </row>
    <row r="605" spans="1:1">
      <c r="A605" s="15"/>
    </row>
    <row r="606" spans="1:1">
      <c r="A606" s="15"/>
    </row>
    <row r="607" spans="1:1">
      <c r="A607" s="15"/>
    </row>
    <row r="608" spans="1:1">
      <c r="A608" s="15"/>
    </row>
    <row r="609" spans="1:1">
      <c r="A609" s="15"/>
    </row>
    <row r="610" spans="1:1">
      <c r="A610" s="15"/>
    </row>
    <row r="611" spans="1:1">
      <c r="A611" s="15"/>
    </row>
    <row r="612" spans="1:1">
      <c r="A612" s="15"/>
    </row>
    <row r="613" spans="1:1">
      <c r="A613" s="15"/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  <row r="618" spans="1:1">
      <c r="A618" s="15"/>
    </row>
    <row r="619" spans="1:1">
      <c r="A619" s="15"/>
    </row>
    <row r="620" spans="1:1">
      <c r="A620" s="15"/>
    </row>
    <row r="621" spans="1:1">
      <c r="A621" s="15"/>
    </row>
    <row r="622" spans="1:1">
      <c r="A622" s="15"/>
    </row>
    <row r="623" spans="1:1">
      <c r="A623" s="15"/>
    </row>
    <row r="624" spans="1:1">
      <c r="A624" s="15"/>
    </row>
    <row r="625" spans="1:1">
      <c r="A625" s="15"/>
    </row>
    <row r="626" spans="1:1">
      <c r="A626" s="15"/>
    </row>
    <row r="627" spans="1:1">
      <c r="A627" s="15"/>
    </row>
    <row r="628" spans="1:1">
      <c r="A628" s="15"/>
    </row>
    <row r="629" spans="1:1">
      <c r="A629" s="15"/>
    </row>
    <row r="630" spans="1:1">
      <c r="A630" s="15"/>
    </row>
    <row r="631" spans="1:1">
      <c r="A631" s="15"/>
    </row>
    <row r="632" spans="1:1">
      <c r="A632" s="15"/>
    </row>
    <row r="633" spans="1:1">
      <c r="A633" s="15"/>
    </row>
    <row r="634" spans="1:1">
      <c r="A634" s="15"/>
    </row>
    <row r="635" spans="1:1">
      <c r="A635" s="15"/>
    </row>
    <row r="636" spans="1:1">
      <c r="A636" s="15"/>
    </row>
    <row r="637" spans="1:1">
      <c r="A637" s="15"/>
    </row>
    <row r="638" spans="1:1">
      <c r="A638" s="15"/>
    </row>
    <row r="639" spans="1:1">
      <c r="A639" s="15"/>
    </row>
    <row r="640" spans="1:1">
      <c r="A640" s="15"/>
    </row>
    <row r="641" spans="1:1">
      <c r="A641" s="15"/>
    </row>
    <row r="642" spans="1:1">
      <c r="A642" s="15"/>
    </row>
    <row r="643" spans="1:1">
      <c r="A643" s="15"/>
    </row>
    <row r="644" spans="1:1">
      <c r="A644" s="15"/>
    </row>
    <row r="645" spans="1:1">
      <c r="A645" s="15"/>
    </row>
    <row r="646" spans="1:1">
      <c r="A646" s="15"/>
    </row>
    <row r="647" spans="1:1">
      <c r="A647" s="15"/>
    </row>
    <row r="648" spans="1:1">
      <c r="A648" s="15"/>
    </row>
    <row r="649" spans="1:1">
      <c r="A649" s="15"/>
    </row>
    <row r="650" spans="1:1">
      <c r="A650" s="15"/>
    </row>
    <row r="651" spans="1:1">
      <c r="A651" s="15"/>
    </row>
    <row r="652" spans="1:1">
      <c r="A652" s="15"/>
    </row>
    <row r="653" spans="1:1">
      <c r="A653" s="15"/>
    </row>
    <row r="654" spans="1:1">
      <c r="A654" s="15"/>
    </row>
    <row r="655" spans="1:1">
      <c r="A655" s="15"/>
    </row>
    <row r="656" spans="1:1">
      <c r="A656" s="15"/>
    </row>
    <row r="657" spans="1:1">
      <c r="A657" s="15"/>
    </row>
    <row r="658" spans="1:1">
      <c r="A658" s="15"/>
    </row>
    <row r="659" spans="1:1">
      <c r="A659" s="15"/>
    </row>
    <row r="660" spans="1:1">
      <c r="A660" s="15"/>
    </row>
    <row r="661" spans="1:1">
      <c r="A661" s="15"/>
    </row>
    <row r="662" spans="1:1">
      <c r="A662" s="15"/>
    </row>
    <row r="663" spans="1:1">
      <c r="A663" s="15"/>
    </row>
    <row r="664" spans="1:1">
      <c r="A664" s="15"/>
    </row>
    <row r="665" spans="1:1">
      <c r="A665" s="15"/>
    </row>
    <row r="666" spans="1:1">
      <c r="A666" s="15"/>
    </row>
    <row r="667" spans="1:1">
      <c r="A667" s="15"/>
    </row>
    <row r="668" spans="1:1">
      <c r="A668" s="15"/>
    </row>
    <row r="669" spans="1:1">
      <c r="A669" s="15"/>
    </row>
    <row r="670" spans="1:1">
      <c r="A670" s="15"/>
    </row>
    <row r="671" spans="1:1">
      <c r="A671" s="15"/>
    </row>
    <row r="672" spans="1:1">
      <c r="A672" s="15"/>
    </row>
    <row r="673" spans="1:1">
      <c r="A673" s="15"/>
    </row>
    <row r="674" spans="1:1">
      <c r="A674" s="15"/>
    </row>
    <row r="675" spans="1:1">
      <c r="A675" s="15"/>
    </row>
    <row r="676" spans="1:1">
      <c r="A676" s="15"/>
    </row>
    <row r="677" spans="1:1">
      <c r="A677" s="15"/>
    </row>
    <row r="678" spans="1:1">
      <c r="A678" s="15"/>
    </row>
    <row r="679" spans="1:1">
      <c r="A679" s="15"/>
    </row>
    <row r="680" spans="1:1">
      <c r="A680" s="15"/>
    </row>
    <row r="681" spans="1:1">
      <c r="A681" s="15"/>
    </row>
    <row r="682" spans="1:1">
      <c r="A682" s="15"/>
    </row>
    <row r="683" spans="1:1">
      <c r="A683" s="15"/>
    </row>
    <row r="684" spans="1:1">
      <c r="A684" s="15"/>
    </row>
    <row r="685" spans="1:1">
      <c r="A685" s="15"/>
    </row>
    <row r="686" spans="1:1">
      <c r="A686" s="15"/>
    </row>
    <row r="687" spans="1:1">
      <c r="A687" s="15"/>
    </row>
    <row r="688" spans="1:1">
      <c r="A688" s="15"/>
    </row>
    <row r="689" spans="1:1">
      <c r="A689" s="15"/>
    </row>
    <row r="690" spans="1:1">
      <c r="A690" s="15"/>
    </row>
    <row r="691" spans="1:1">
      <c r="A691" s="15"/>
    </row>
    <row r="692" spans="1:1">
      <c r="A692" s="15"/>
    </row>
    <row r="693" spans="1:1">
      <c r="A693" s="15"/>
    </row>
    <row r="694" spans="1:1">
      <c r="A694" s="15"/>
    </row>
    <row r="695" spans="1:1">
      <c r="A695" s="15"/>
    </row>
    <row r="696" spans="1:1">
      <c r="A696" s="15"/>
    </row>
    <row r="697" spans="1:1">
      <c r="A697" s="15"/>
    </row>
    <row r="698" spans="1:1">
      <c r="A698" s="15"/>
    </row>
    <row r="699" spans="1:1">
      <c r="A699" s="15"/>
    </row>
    <row r="700" spans="1:1">
      <c r="A700" s="15"/>
    </row>
    <row r="701" spans="1:1">
      <c r="A701" s="15"/>
    </row>
    <row r="702" spans="1:1">
      <c r="A702" s="15"/>
    </row>
    <row r="703" spans="1:1">
      <c r="A703" s="15"/>
    </row>
    <row r="704" spans="1:1">
      <c r="A704" s="15"/>
    </row>
    <row r="705" spans="1:1">
      <c r="A705" s="15"/>
    </row>
    <row r="706" spans="1:1">
      <c r="A706" s="15"/>
    </row>
    <row r="707" spans="1:1">
      <c r="A707" s="15"/>
    </row>
    <row r="708" spans="1:1">
      <c r="A708" s="15"/>
    </row>
    <row r="709" spans="1:1">
      <c r="A709" s="15"/>
    </row>
    <row r="710" spans="1:1">
      <c r="A710" s="15"/>
    </row>
    <row r="711" spans="1:1">
      <c r="A711" s="15"/>
    </row>
    <row r="712" spans="1:1">
      <c r="A712" s="15"/>
    </row>
    <row r="713" spans="1:1">
      <c r="A713" s="15"/>
    </row>
    <row r="714" spans="1:1">
      <c r="A714" s="15"/>
    </row>
    <row r="715" spans="1:1">
      <c r="A715" s="15"/>
    </row>
    <row r="716" spans="1:1">
      <c r="A716" s="15"/>
    </row>
    <row r="717" spans="1:1">
      <c r="A717" s="15"/>
    </row>
    <row r="718" spans="1:1">
      <c r="A718" s="15"/>
    </row>
    <row r="719" spans="1:1">
      <c r="A719" s="15"/>
    </row>
    <row r="720" spans="1:1">
      <c r="A720" s="15"/>
    </row>
    <row r="721" spans="1:1">
      <c r="A721" s="15"/>
    </row>
    <row r="722" spans="1:1">
      <c r="A722" s="15"/>
    </row>
    <row r="723" spans="1:1">
      <c r="A723" s="15"/>
    </row>
    <row r="724" spans="1:1">
      <c r="A724" s="15"/>
    </row>
    <row r="725" spans="1:1">
      <c r="A725" s="15"/>
    </row>
    <row r="726" spans="1:1">
      <c r="A726" s="15"/>
    </row>
    <row r="727" spans="1:1">
      <c r="A727" s="15"/>
    </row>
    <row r="728" spans="1:1">
      <c r="A728" s="15"/>
    </row>
    <row r="729" spans="1:1">
      <c r="A729" s="15"/>
    </row>
    <row r="730" spans="1:1">
      <c r="A730" s="15"/>
    </row>
    <row r="731" spans="1:1">
      <c r="A731" s="15"/>
    </row>
    <row r="732" spans="1:1">
      <c r="A732" s="15"/>
    </row>
    <row r="733" spans="1:1">
      <c r="A733" s="15"/>
    </row>
    <row r="734" spans="1:1">
      <c r="A734" s="15"/>
    </row>
    <row r="735" spans="1:1">
      <c r="A735" s="15"/>
    </row>
    <row r="736" spans="1:1">
      <c r="A736" s="15"/>
    </row>
    <row r="737" spans="1:1">
      <c r="A737" s="15"/>
    </row>
    <row r="738" spans="1:1">
      <c r="A738" s="15"/>
    </row>
    <row r="739" spans="1:1">
      <c r="A739" s="15"/>
    </row>
    <row r="740" spans="1:1">
      <c r="A740" s="15"/>
    </row>
    <row r="741" spans="1:1">
      <c r="A741" s="15"/>
    </row>
    <row r="742" spans="1:1">
      <c r="A742" s="15"/>
    </row>
    <row r="743" spans="1:1">
      <c r="A743" s="15"/>
    </row>
    <row r="744" spans="1:1">
      <c r="A744" s="15"/>
    </row>
    <row r="745" spans="1:1">
      <c r="A745" s="15"/>
    </row>
    <row r="746" spans="1:1">
      <c r="A746" s="15"/>
    </row>
    <row r="747" spans="1:1">
      <c r="A747" s="15"/>
    </row>
    <row r="748" spans="1:1">
      <c r="A748" s="15"/>
    </row>
    <row r="749" spans="1:1">
      <c r="A749" s="15"/>
    </row>
    <row r="750" spans="1:1">
      <c r="A750" s="15"/>
    </row>
    <row r="751" spans="1:1">
      <c r="A751" s="15"/>
    </row>
    <row r="752" spans="1:1">
      <c r="A752" s="15"/>
    </row>
    <row r="753" spans="1:1">
      <c r="A753" s="15"/>
    </row>
    <row r="754" spans="1:1">
      <c r="A754" s="15"/>
    </row>
    <row r="755" spans="1:1">
      <c r="A755" s="15"/>
    </row>
    <row r="756" spans="1:1">
      <c r="A756" s="15"/>
    </row>
    <row r="757" spans="1:1">
      <c r="A757" s="15"/>
    </row>
    <row r="758" spans="1:1">
      <c r="A758" s="15"/>
    </row>
    <row r="759" spans="1:1">
      <c r="A759" s="15"/>
    </row>
    <row r="760" spans="1:1">
      <c r="A760" s="15"/>
    </row>
    <row r="761" spans="1:1">
      <c r="A761" s="15"/>
    </row>
    <row r="762" spans="1:1">
      <c r="A762" s="15"/>
    </row>
    <row r="763" spans="1:1">
      <c r="A763" s="15"/>
    </row>
    <row r="764" spans="1:1">
      <c r="A764" s="15"/>
    </row>
    <row r="765" spans="1:1">
      <c r="A765" s="15"/>
    </row>
    <row r="766" spans="1:1">
      <c r="A766" s="15"/>
    </row>
    <row r="767" spans="1:1">
      <c r="A767" s="15"/>
    </row>
    <row r="768" spans="1:1">
      <c r="A768" s="15"/>
    </row>
    <row r="769" spans="1:1">
      <c r="A769" s="15"/>
    </row>
    <row r="770" spans="1:1">
      <c r="A770" s="15"/>
    </row>
    <row r="771" spans="1:1">
      <c r="A771" s="15"/>
    </row>
    <row r="772" spans="1:1">
      <c r="A772" s="15"/>
    </row>
    <row r="773" spans="1:1">
      <c r="A773" s="15"/>
    </row>
    <row r="774" spans="1:1">
      <c r="A774" s="15"/>
    </row>
    <row r="775" spans="1:1">
      <c r="A775" s="15"/>
    </row>
    <row r="776" spans="1:1">
      <c r="A776" s="15"/>
    </row>
    <row r="777" spans="1:1">
      <c r="A777" s="15"/>
    </row>
    <row r="778" spans="1:1">
      <c r="A778" s="15"/>
    </row>
    <row r="779" spans="1:1">
      <c r="A779" s="15"/>
    </row>
    <row r="780" spans="1:1">
      <c r="A780" s="15"/>
    </row>
    <row r="781" spans="1:1">
      <c r="A781" s="15"/>
    </row>
    <row r="782" spans="1:1">
      <c r="A782" s="15"/>
    </row>
    <row r="783" spans="1:1">
      <c r="A783" s="15"/>
    </row>
    <row r="784" spans="1:1">
      <c r="A784" s="15"/>
    </row>
    <row r="785" spans="1:1">
      <c r="A785" s="15"/>
    </row>
    <row r="786" spans="1:1">
      <c r="A786" s="15"/>
    </row>
    <row r="787" spans="1:1">
      <c r="A787" s="15"/>
    </row>
    <row r="788" spans="1:1">
      <c r="A788" s="15"/>
    </row>
    <row r="789" spans="1:1">
      <c r="A789" s="15"/>
    </row>
    <row r="790" spans="1:1">
      <c r="A790" s="15"/>
    </row>
    <row r="791" spans="1:1">
      <c r="A791" s="15"/>
    </row>
    <row r="792" spans="1:1">
      <c r="A792" s="15"/>
    </row>
    <row r="793" spans="1:1">
      <c r="A793" s="15"/>
    </row>
    <row r="794" spans="1:1">
      <c r="A794" s="15"/>
    </row>
    <row r="795" spans="1:1">
      <c r="A795" s="15"/>
    </row>
    <row r="796" spans="1:1">
      <c r="A796" s="15"/>
    </row>
    <row r="797" spans="1:1">
      <c r="A797" s="15"/>
    </row>
    <row r="798" spans="1:1">
      <c r="A798" s="15"/>
    </row>
    <row r="799" spans="1:1">
      <c r="A799" s="15"/>
    </row>
    <row r="800" spans="1:1">
      <c r="A800" s="15"/>
    </row>
    <row r="801" spans="1:1">
      <c r="A801" s="15"/>
    </row>
    <row r="802" spans="1:1">
      <c r="A802" s="15"/>
    </row>
    <row r="803" spans="1:1">
      <c r="A803" s="15"/>
    </row>
    <row r="804" spans="1:1">
      <c r="A804" s="15"/>
    </row>
    <row r="805" spans="1:1">
      <c r="A805" s="15"/>
    </row>
    <row r="806" spans="1:1">
      <c r="A806" s="15"/>
    </row>
    <row r="807" spans="1:1">
      <c r="A807" s="15"/>
    </row>
    <row r="808" spans="1:1">
      <c r="A808" s="15"/>
    </row>
    <row r="809" spans="1:1">
      <c r="A809" s="15"/>
    </row>
    <row r="810" spans="1:1">
      <c r="A810" s="15"/>
    </row>
    <row r="811" spans="1:1">
      <c r="A811" s="15"/>
    </row>
    <row r="812" spans="1:1">
      <c r="A812" s="15"/>
    </row>
    <row r="813" spans="1:1">
      <c r="A813" s="15"/>
    </row>
    <row r="814" spans="1:1">
      <c r="A814" s="15"/>
    </row>
    <row r="815" spans="1:1">
      <c r="A815" s="15"/>
    </row>
    <row r="816" spans="1:1">
      <c r="A816" s="15"/>
    </row>
    <row r="817" spans="1:1">
      <c r="A817" s="15"/>
    </row>
    <row r="818" spans="1:1">
      <c r="A818" s="15"/>
    </row>
    <row r="819" spans="1:1">
      <c r="A819" s="15"/>
    </row>
    <row r="820" spans="1:1">
      <c r="A820" s="15"/>
    </row>
    <row r="821" spans="1:1">
      <c r="A821" s="15"/>
    </row>
    <row r="822" spans="1:1">
      <c r="A822" s="15"/>
    </row>
    <row r="823" spans="1:1">
      <c r="A823" s="15"/>
    </row>
    <row r="824" spans="1:1">
      <c r="A824" s="15"/>
    </row>
    <row r="825" spans="1:1">
      <c r="A825" s="15"/>
    </row>
    <row r="826" spans="1:1">
      <c r="A826" s="15"/>
    </row>
    <row r="827" spans="1:1">
      <c r="A827" s="15"/>
    </row>
    <row r="828" spans="1:1">
      <c r="A828" s="15"/>
    </row>
    <row r="829" spans="1:1">
      <c r="A829" s="15"/>
    </row>
    <row r="830" spans="1:1">
      <c r="A830" s="15"/>
    </row>
    <row r="831" spans="1:1">
      <c r="A831" s="15"/>
    </row>
    <row r="832" spans="1:1">
      <c r="A832" s="15"/>
    </row>
    <row r="833" spans="1:1">
      <c r="A833" s="15"/>
    </row>
    <row r="834" spans="1:1">
      <c r="A834" s="15"/>
    </row>
    <row r="835" spans="1:1">
      <c r="A835" s="15"/>
    </row>
    <row r="836" spans="1:1">
      <c r="A836" s="15"/>
    </row>
    <row r="837" spans="1:1">
      <c r="A837" s="15"/>
    </row>
    <row r="838" spans="1:1">
      <c r="A838" s="15"/>
    </row>
    <row r="839" spans="1:1">
      <c r="A839" s="15"/>
    </row>
    <row r="840" spans="1:1">
      <c r="A840" s="15"/>
    </row>
    <row r="841" spans="1:1">
      <c r="A841" s="15"/>
    </row>
    <row r="842" spans="1:1">
      <c r="A842" s="15"/>
    </row>
    <row r="843" spans="1:1">
      <c r="A843" s="15"/>
    </row>
    <row r="844" spans="1:1">
      <c r="A844" s="15"/>
    </row>
    <row r="845" spans="1:1">
      <c r="A845" s="15"/>
    </row>
    <row r="846" spans="1:1">
      <c r="A846" s="15"/>
    </row>
    <row r="847" spans="1:1">
      <c r="A847" s="15"/>
    </row>
    <row r="848" spans="1:1">
      <c r="A848" s="15"/>
    </row>
    <row r="849" spans="1:1">
      <c r="A849" s="15"/>
    </row>
    <row r="850" spans="1:1">
      <c r="A850" s="15"/>
    </row>
    <row r="851" spans="1:1">
      <c r="A851" s="15"/>
    </row>
    <row r="852" spans="1:1">
      <c r="A852" s="15"/>
    </row>
    <row r="853" spans="1:1">
      <c r="A853" s="15"/>
    </row>
    <row r="854" spans="1:1">
      <c r="A854" s="15"/>
    </row>
    <row r="855" spans="1:1">
      <c r="A855" s="15"/>
    </row>
    <row r="856" spans="1:1">
      <c r="A856" s="15"/>
    </row>
    <row r="857" spans="1:1">
      <c r="A857" s="15"/>
    </row>
    <row r="858" spans="1:1">
      <c r="A858" s="15"/>
    </row>
    <row r="859" spans="1:1">
      <c r="A859" s="15"/>
    </row>
    <row r="860" spans="1:1">
      <c r="A860" s="15"/>
    </row>
    <row r="861" spans="1:1">
      <c r="A861" s="15"/>
    </row>
    <row r="862" spans="1:1">
      <c r="A862" s="15"/>
    </row>
    <row r="863" spans="1:1">
      <c r="A863" s="15"/>
    </row>
    <row r="864" spans="1:1">
      <c r="A864" s="15"/>
    </row>
    <row r="865" spans="1:1">
      <c r="A865" s="15"/>
    </row>
    <row r="866" spans="1:1">
      <c r="A866" s="15"/>
    </row>
    <row r="867" spans="1:1">
      <c r="A867" s="15"/>
    </row>
    <row r="868" spans="1:1">
      <c r="A868" s="15"/>
    </row>
    <row r="869" spans="1:1">
      <c r="A869" s="15"/>
    </row>
    <row r="870" spans="1:1">
      <c r="A870" s="15"/>
    </row>
    <row r="871" spans="1:1">
      <c r="A871" s="15"/>
    </row>
    <row r="872" spans="1:1">
      <c r="A872" s="15"/>
    </row>
    <row r="873" spans="1:1">
      <c r="A873" s="15"/>
    </row>
    <row r="874" spans="1:1">
      <c r="A874" s="15"/>
    </row>
    <row r="875" spans="1:1">
      <c r="A875" s="15"/>
    </row>
    <row r="876" spans="1:1">
      <c r="A876" s="15"/>
    </row>
    <row r="877" spans="1:1">
      <c r="A877" s="15"/>
    </row>
    <row r="878" spans="1:1">
      <c r="A878" s="15"/>
    </row>
    <row r="879" spans="1:1">
      <c r="A879" s="15"/>
    </row>
    <row r="880" spans="1:1">
      <c r="A880" s="15"/>
    </row>
    <row r="881" spans="1:1">
      <c r="A881" s="15"/>
    </row>
    <row r="882" spans="1:1">
      <c r="A882" s="15"/>
    </row>
    <row r="883" spans="1:1">
      <c r="A883" s="15"/>
    </row>
    <row r="884" spans="1:1">
      <c r="A884" s="15"/>
    </row>
    <row r="885" spans="1:1">
      <c r="A885" s="15"/>
    </row>
    <row r="886" spans="1:1">
      <c r="A886" s="15"/>
    </row>
    <row r="887" spans="1:1">
      <c r="A887" s="15"/>
    </row>
    <row r="888" spans="1:1">
      <c r="A888" s="15"/>
    </row>
    <row r="889" spans="1:1">
      <c r="A889" s="15"/>
    </row>
    <row r="890" spans="1:1">
      <c r="A890" s="15"/>
    </row>
    <row r="891" spans="1:1">
      <c r="A891" s="15"/>
    </row>
    <row r="892" spans="1:1">
      <c r="A892" s="15"/>
    </row>
    <row r="893" spans="1:1">
      <c r="A893" s="15"/>
    </row>
    <row r="894" spans="1:1">
      <c r="A894" s="15"/>
    </row>
    <row r="895" spans="1:1">
      <c r="A895" s="15"/>
    </row>
    <row r="896" spans="1:1">
      <c r="A896" s="15"/>
    </row>
    <row r="897" spans="1:1">
      <c r="A897" s="15"/>
    </row>
    <row r="898" spans="1:1">
      <c r="A898" s="15"/>
    </row>
    <row r="899" spans="1:1">
      <c r="A899" s="15"/>
    </row>
    <row r="900" spans="1:1">
      <c r="A900" s="15"/>
    </row>
    <row r="901" spans="1:1">
      <c r="A901" s="15"/>
    </row>
    <row r="902" spans="1:1">
      <c r="A902" s="15"/>
    </row>
    <row r="903" spans="1:1">
      <c r="A903" s="15"/>
    </row>
    <row r="904" spans="1:1">
      <c r="A904" s="15"/>
    </row>
    <row r="905" spans="1:1">
      <c r="A905" s="15"/>
    </row>
    <row r="906" spans="1:1">
      <c r="A906" s="15"/>
    </row>
    <row r="907" spans="1:1">
      <c r="A907" s="15"/>
    </row>
    <row r="908" spans="1:1">
      <c r="A908" s="15"/>
    </row>
    <row r="909" spans="1:1">
      <c r="A909" s="15"/>
    </row>
    <row r="910" spans="1:1">
      <c r="A910" s="15"/>
    </row>
    <row r="911" spans="1:1">
      <c r="A911" s="15"/>
    </row>
    <row r="912" spans="1:1">
      <c r="A912" s="15"/>
    </row>
    <row r="913" spans="1:1">
      <c r="A913" s="15"/>
    </row>
    <row r="914" spans="1:1">
      <c r="A914" s="15"/>
    </row>
    <row r="915" spans="1:1">
      <c r="A915" s="15"/>
    </row>
    <row r="916" spans="1:1">
      <c r="A916" s="15"/>
    </row>
    <row r="917" spans="1:1">
      <c r="A917" s="15"/>
    </row>
    <row r="918" spans="1:1">
      <c r="A918" s="15"/>
    </row>
    <row r="919" spans="1:1">
      <c r="A919" s="15"/>
    </row>
    <row r="920" spans="1:1">
      <c r="A920" s="15"/>
    </row>
    <row r="921" spans="1:1">
      <c r="A921" s="15"/>
    </row>
    <row r="922" spans="1:1">
      <c r="A922" s="15"/>
    </row>
    <row r="923" spans="1:1">
      <c r="A923" s="15"/>
    </row>
    <row r="924" spans="1:1">
      <c r="A924" s="15"/>
    </row>
    <row r="925" spans="1:1">
      <c r="A925" s="15"/>
    </row>
    <row r="926" spans="1:1">
      <c r="A926" s="15"/>
    </row>
    <row r="927" spans="1:1">
      <c r="A927" s="15"/>
    </row>
    <row r="928" spans="1:1">
      <c r="A928" s="15"/>
    </row>
    <row r="929" spans="1:1">
      <c r="A929" s="15"/>
    </row>
    <row r="930" spans="1:1">
      <c r="A930" s="15"/>
    </row>
    <row r="931" spans="1:1">
      <c r="A931" s="15"/>
    </row>
    <row r="932" spans="1:1">
      <c r="A932" s="15"/>
    </row>
    <row r="933" spans="1:1">
      <c r="A933" s="15"/>
    </row>
    <row r="934" spans="1:1">
      <c r="A934" s="15"/>
    </row>
    <row r="935" spans="1:1">
      <c r="A935" s="15"/>
    </row>
    <row r="936" spans="1:1">
      <c r="A936" s="15"/>
    </row>
    <row r="937" spans="1:1">
      <c r="A937" s="15"/>
    </row>
    <row r="938" spans="1:1">
      <c r="A938" s="15"/>
    </row>
    <row r="939" spans="1:1">
      <c r="A939" s="15"/>
    </row>
    <row r="940" spans="1:1">
      <c r="A940" s="15"/>
    </row>
    <row r="941" spans="1:1">
      <c r="A941" s="15"/>
    </row>
    <row r="942" spans="1:1">
      <c r="A942" s="15"/>
    </row>
    <row r="943" spans="1:1">
      <c r="A943" s="15"/>
    </row>
    <row r="944" spans="1:1">
      <c r="A944" s="15"/>
    </row>
    <row r="945" spans="1:1">
      <c r="A945" s="15"/>
    </row>
    <row r="946" spans="1:1">
      <c r="A946" s="15"/>
    </row>
    <row r="947" spans="1:1">
      <c r="A947" s="15"/>
    </row>
    <row r="948" spans="1:1">
      <c r="A948" s="15"/>
    </row>
    <row r="949" spans="1:1">
      <c r="A949" s="15"/>
    </row>
    <row r="950" spans="1:1">
      <c r="A950" s="15"/>
    </row>
    <row r="951" spans="1:1">
      <c r="A951" s="15"/>
    </row>
    <row r="952" spans="1:1">
      <c r="A952" s="15"/>
    </row>
    <row r="953" spans="1:1">
      <c r="A953" s="15"/>
    </row>
    <row r="954" spans="1:1">
      <c r="A954" s="15"/>
    </row>
    <row r="955" spans="1:1">
      <c r="A955" s="15"/>
    </row>
    <row r="956" spans="1:1">
      <c r="A956" s="15"/>
    </row>
    <row r="957" spans="1:1">
      <c r="A957" s="15"/>
    </row>
    <row r="958" spans="1:1">
      <c r="A958" s="15"/>
    </row>
    <row r="959" spans="1:1">
      <c r="A959" s="15"/>
    </row>
    <row r="960" spans="1:1">
      <c r="A960" s="15"/>
    </row>
    <row r="961" spans="1:1">
      <c r="A961" s="15"/>
    </row>
    <row r="962" spans="1:1">
      <c r="A962" s="15"/>
    </row>
    <row r="963" spans="1:1">
      <c r="A963" s="15"/>
    </row>
    <row r="964" spans="1:1">
      <c r="A964" s="15"/>
    </row>
    <row r="965" spans="1:1">
      <c r="A965" s="15"/>
    </row>
    <row r="966" spans="1:1">
      <c r="A966" s="15"/>
    </row>
    <row r="967" spans="1:1">
      <c r="A967" s="15"/>
    </row>
    <row r="968" spans="1:1">
      <c r="A968" s="15"/>
    </row>
    <row r="969" spans="1:1">
      <c r="A969" s="15"/>
    </row>
    <row r="970" spans="1:1">
      <c r="A970" s="15"/>
    </row>
    <row r="971" spans="1:1">
      <c r="A971" s="15"/>
    </row>
    <row r="972" spans="1:1">
      <c r="A972" s="15"/>
    </row>
    <row r="973" spans="1:1">
      <c r="A973" s="15"/>
    </row>
    <row r="974" spans="1:1">
      <c r="A974" s="15"/>
    </row>
    <row r="975" spans="1:1">
      <c r="A975" s="15"/>
    </row>
    <row r="976" spans="1:1">
      <c r="A976" s="15"/>
    </row>
    <row r="977" spans="1:1">
      <c r="A977" s="15"/>
    </row>
    <row r="978" spans="1:1">
      <c r="A978" s="15"/>
    </row>
    <row r="979" spans="1:1">
      <c r="A979" s="15"/>
    </row>
    <row r="980" spans="1:1">
      <c r="A980" s="15"/>
    </row>
    <row r="981" spans="1:1">
      <c r="A981" s="15"/>
    </row>
    <row r="982" spans="1:1">
      <c r="A982" s="15"/>
    </row>
    <row r="983" spans="1:1">
      <c r="A983" s="15"/>
    </row>
    <row r="984" spans="1:1">
      <c r="A984" s="15"/>
    </row>
    <row r="985" spans="1:1">
      <c r="A985" s="15"/>
    </row>
    <row r="986" spans="1:1">
      <c r="A986" s="15"/>
    </row>
    <row r="987" spans="1:1">
      <c r="A987" s="15"/>
    </row>
    <row r="988" spans="1:1">
      <c r="A988" s="15"/>
    </row>
    <row r="989" spans="1:1">
      <c r="A989" s="15"/>
    </row>
    <row r="990" spans="1:1">
      <c r="A990" s="15"/>
    </row>
    <row r="991" spans="1:1">
      <c r="A991" s="15"/>
    </row>
    <row r="992" spans="1:1">
      <c r="A992" s="15"/>
    </row>
    <row r="993" spans="1:1">
      <c r="A993" s="15"/>
    </row>
    <row r="994" spans="1:1">
      <c r="A994" s="15"/>
    </row>
    <row r="995" spans="1:1">
      <c r="A995" s="15"/>
    </row>
    <row r="996" spans="1:1">
      <c r="A996" s="15"/>
    </row>
    <row r="997" spans="1:1">
      <c r="A997" s="15"/>
    </row>
    <row r="998" spans="1:1">
      <c r="A998" s="15"/>
    </row>
    <row r="999" spans="1:1">
      <c r="A999" s="15"/>
    </row>
    <row r="1000" spans="1:1">
      <c r="A1000" s="15"/>
    </row>
    <row r="1001" spans="1:1">
      <c r="A1001" s="15"/>
    </row>
    <row r="1002" spans="1:1">
      <c r="A1002" s="15"/>
    </row>
    <row r="1003" spans="1:1">
      <c r="A1003" s="15"/>
    </row>
    <row r="1004" spans="1:1">
      <c r="A1004" s="15"/>
    </row>
    <row r="1005" spans="1:1">
      <c r="A1005" s="15"/>
    </row>
    <row r="1006" spans="1:1">
      <c r="A1006" s="15"/>
    </row>
    <row r="1007" spans="1:1">
      <c r="A1007" s="15"/>
    </row>
    <row r="1008" spans="1:1">
      <c r="A1008" s="15"/>
    </row>
    <row r="1009" spans="1:1">
      <c r="A1009" s="15"/>
    </row>
    <row r="1010" spans="1:1">
      <c r="A1010" s="15"/>
    </row>
    <row r="1011" spans="1:1">
      <c r="A1011" s="15"/>
    </row>
    <row r="1012" spans="1:1">
      <c r="A1012" s="15"/>
    </row>
    <row r="1013" spans="1:1">
      <c r="A1013" s="15"/>
    </row>
    <row r="1014" spans="1:1">
      <c r="A1014" s="15"/>
    </row>
    <row r="1015" spans="1:1">
      <c r="A1015" s="15"/>
    </row>
    <row r="1016" spans="1:1">
      <c r="A1016" s="15"/>
    </row>
    <row r="1017" spans="1:1">
      <c r="A1017" s="15"/>
    </row>
    <row r="1018" spans="1:1">
      <c r="A1018" s="15"/>
    </row>
    <row r="1019" spans="1:1">
      <c r="A1019" s="15"/>
    </row>
    <row r="1020" spans="1:1">
      <c r="A1020" s="15"/>
    </row>
    <row r="1021" spans="1:1">
      <c r="A1021" s="15"/>
    </row>
    <row r="1022" spans="1:1">
      <c r="A1022" s="15"/>
    </row>
    <row r="1023" spans="1:1">
      <c r="A1023" s="15"/>
    </row>
    <row r="1024" spans="1:1">
      <c r="A1024" s="15"/>
    </row>
    <row r="1025" spans="1:1">
      <c r="A1025" s="15"/>
    </row>
    <row r="1026" spans="1:1">
      <c r="A1026" s="15"/>
    </row>
    <row r="1027" spans="1:1">
      <c r="A1027" s="15"/>
    </row>
    <row r="1028" spans="1:1">
      <c r="A1028" s="15"/>
    </row>
    <row r="1029" spans="1:1">
      <c r="A1029" s="15"/>
    </row>
    <row r="1030" spans="1:1">
      <c r="A1030" s="15"/>
    </row>
    <row r="1031" spans="1:1">
      <c r="A1031" s="15"/>
    </row>
    <row r="1032" spans="1:1">
      <c r="A1032" s="15"/>
    </row>
    <row r="1033" spans="1:1">
      <c r="A1033" s="15"/>
    </row>
    <row r="1034" spans="1:1">
      <c r="A1034" s="15"/>
    </row>
    <row r="1035" spans="1:1">
      <c r="A1035" s="15"/>
    </row>
    <row r="1036" spans="1:1">
      <c r="A1036" s="15"/>
    </row>
    <row r="1037" spans="1:1">
      <c r="A1037" s="15"/>
    </row>
    <row r="1038" spans="1:1">
      <c r="A1038" s="15"/>
    </row>
    <row r="1039" spans="1:1">
      <c r="A1039" s="15"/>
    </row>
    <row r="1040" spans="1:1">
      <c r="A1040" s="15"/>
    </row>
    <row r="1041" spans="1:1">
      <c r="A1041" s="15"/>
    </row>
    <row r="1042" spans="1:1">
      <c r="A1042" s="15"/>
    </row>
    <row r="1043" spans="1:1">
      <c r="A1043" s="15"/>
    </row>
    <row r="1044" spans="1:1">
      <c r="A1044" s="15"/>
    </row>
    <row r="1045" spans="1:1">
      <c r="A1045" s="15"/>
    </row>
    <row r="1046" spans="1:1">
      <c r="A1046" s="15"/>
    </row>
    <row r="1047" spans="1:1">
      <c r="A1047" s="15"/>
    </row>
    <row r="1048" spans="1:1">
      <c r="A1048" s="15"/>
    </row>
    <row r="1049" spans="1:1">
      <c r="A1049" s="15"/>
    </row>
    <row r="1050" spans="1:1">
      <c r="A1050" s="15"/>
    </row>
    <row r="1051" spans="1:1">
      <c r="A1051" s="15"/>
    </row>
    <row r="1052" spans="1:1">
      <c r="A1052" s="15"/>
    </row>
    <row r="1053" spans="1:1">
      <c r="A1053" s="15"/>
    </row>
    <row r="1054" spans="1:1">
      <c r="A1054" s="15"/>
    </row>
    <row r="1055" spans="1:1">
      <c r="A1055" s="15"/>
    </row>
    <row r="1056" spans="1:1">
      <c r="A1056" s="15"/>
    </row>
    <row r="1057" spans="1:1">
      <c r="A1057" s="15"/>
    </row>
    <row r="1058" spans="1:1">
      <c r="A1058" s="15"/>
    </row>
    <row r="1059" spans="1:1">
      <c r="A1059" s="15"/>
    </row>
    <row r="1060" spans="1:1">
      <c r="A1060" s="15"/>
    </row>
    <row r="1061" spans="1:1">
      <c r="A1061" s="15"/>
    </row>
    <row r="1062" spans="1:1">
      <c r="A1062" s="15"/>
    </row>
    <row r="1063" spans="1:1">
      <c r="A1063" s="15"/>
    </row>
    <row r="1064" spans="1:1">
      <c r="A1064" s="15"/>
    </row>
    <row r="1065" spans="1:1">
      <c r="A1065" s="15"/>
    </row>
    <row r="1066" spans="1:1">
      <c r="A1066" s="15"/>
    </row>
    <row r="1067" spans="1:1">
      <c r="A1067" s="15"/>
    </row>
    <row r="1068" spans="1:1">
      <c r="A1068" s="15"/>
    </row>
    <row r="1069" spans="1:1">
      <c r="A1069" s="15"/>
    </row>
    <row r="1070" spans="1:1">
      <c r="A1070" s="15"/>
    </row>
    <row r="1071" spans="1:1">
      <c r="A1071" s="15"/>
    </row>
    <row r="1072" spans="1:1">
      <c r="A1072" s="15"/>
    </row>
    <row r="1073" spans="1:1">
      <c r="A1073" s="15"/>
    </row>
    <row r="1074" spans="1:1">
      <c r="A1074" s="15"/>
    </row>
    <row r="1075" spans="1:1">
      <c r="A1075" s="15"/>
    </row>
    <row r="1076" spans="1:1">
      <c r="A1076" s="15"/>
    </row>
    <row r="1077" spans="1:1">
      <c r="A1077" s="15"/>
    </row>
    <row r="1078" spans="1:1">
      <c r="A1078" s="15"/>
    </row>
    <row r="1079" spans="1:1">
      <c r="A1079" s="15"/>
    </row>
    <row r="1080" spans="1:1">
      <c r="A1080" s="15"/>
    </row>
    <row r="1081" spans="1:1">
      <c r="A1081" s="15"/>
    </row>
    <row r="1082" spans="1:1">
      <c r="A1082" s="15"/>
    </row>
    <row r="1083" spans="1:1">
      <c r="A1083" s="15"/>
    </row>
    <row r="1084" spans="1:1">
      <c r="A1084" s="15"/>
    </row>
    <row r="1085" spans="1:1">
      <c r="A1085" s="15"/>
    </row>
    <row r="1086" spans="1:1">
      <c r="A1086" s="15"/>
    </row>
    <row r="1087" spans="1:1">
      <c r="A1087" s="15"/>
    </row>
    <row r="1088" spans="1:1">
      <c r="A1088" s="15"/>
    </row>
    <row r="1089" spans="1:1">
      <c r="A1089" s="15"/>
    </row>
    <row r="1090" spans="1:1">
      <c r="A1090" s="15"/>
    </row>
    <row r="1091" spans="1:1">
      <c r="A1091" s="15"/>
    </row>
    <row r="1092" spans="1:1">
      <c r="A1092" s="15"/>
    </row>
    <row r="1093" spans="1:1">
      <c r="A1093" s="15"/>
    </row>
    <row r="1094" spans="1:1">
      <c r="A1094" s="15"/>
    </row>
    <row r="1095" spans="1:1">
      <c r="A1095" s="15"/>
    </row>
    <row r="1096" spans="1:1">
      <c r="A1096" s="15"/>
    </row>
    <row r="1097" spans="1:1">
      <c r="A1097" s="15"/>
    </row>
    <row r="1098" spans="1:1">
      <c r="A1098" s="15"/>
    </row>
    <row r="1099" spans="1:1">
      <c r="A1099" s="15"/>
    </row>
    <row r="1100" spans="1:1">
      <c r="A1100" s="15"/>
    </row>
    <row r="1101" spans="1:1">
      <c r="A1101" s="15"/>
    </row>
    <row r="1102" spans="1:1">
      <c r="A1102" s="15"/>
    </row>
    <row r="1103" spans="1:1">
      <c r="A1103" s="15"/>
    </row>
    <row r="1104" spans="1:1">
      <c r="A1104" s="15"/>
    </row>
    <row r="1105" spans="1:1">
      <c r="A1105" s="15"/>
    </row>
    <row r="1106" spans="1:1">
      <c r="A1106" s="15"/>
    </row>
    <row r="1107" spans="1:1">
      <c r="A1107" s="15"/>
    </row>
    <row r="1108" spans="1:1">
      <c r="A1108" s="15"/>
    </row>
    <row r="1109" spans="1:1">
      <c r="A1109" s="15"/>
    </row>
    <row r="1110" spans="1:1">
      <c r="A1110" s="15"/>
    </row>
    <row r="1111" spans="1:1">
      <c r="A1111" s="15"/>
    </row>
    <row r="1112" spans="1:1">
      <c r="A1112" s="15"/>
    </row>
    <row r="1113" spans="1:1">
      <c r="A1113" s="15"/>
    </row>
    <row r="1114" spans="1:1">
      <c r="A1114" s="15"/>
    </row>
    <row r="1115" spans="1:1">
      <c r="A1115" s="15"/>
    </row>
    <row r="1116" spans="1:1">
      <c r="A1116" s="15"/>
    </row>
    <row r="1117" spans="1:1">
      <c r="A1117" s="15"/>
    </row>
    <row r="1118" spans="1:1">
      <c r="A1118" s="15"/>
    </row>
    <row r="1119" spans="1:1">
      <c r="A1119" s="15"/>
    </row>
    <row r="1120" spans="1:1">
      <c r="A1120" s="15"/>
    </row>
    <row r="1121" spans="1:1">
      <c r="A1121" s="15"/>
    </row>
    <row r="1122" spans="1:1">
      <c r="A1122" s="15"/>
    </row>
    <row r="1123" spans="1:1">
      <c r="A1123" s="15"/>
    </row>
    <row r="1124" spans="1:1">
      <c r="A1124" s="15"/>
    </row>
    <row r="1125" spans="1:1">
      <c r="A1125" s="15"/>
    </row>
    <row r="1126" spans="1:1">
      <c r="A1126" s="15"/>
    </row>
    <row r="1127" spans="1:1">
      <c r="A1127" s="15"/>
    </row>
    <row r="1128" spans="1:1">
      <c r="A1128" s="15"/>
    </row>
    <row r="1129" spans="1:1">
      <c r="A1129" s="15"/>
    </row>
    <row r="1130" spans="1:1">
      <c r="A1130" s="15"/>
    </row>
    <row r="1131" spans="1:1">
      <c r="A1131" s="15"/>
    </row>
    <row r="1132" spans="1:1">
      <c r="A1132" s="15"/>
    </row>
    <row r="1133" spans="1:1">
      <c r="A1133" s="15"/>
    </row>
    <row r="1134" spans="1:1">
      <c r="A1134" s="15"/>
    </row>
    <row r="1135" spans="1:1">
      <c r="A1135" s="15"/>
    </row>
    <row r="1136" spans="1:1">
      <c r="A1136" s="15"/>
    </row>
    <row r="1137" spans="1:1">
      <c r="A1137" s="15"/>
    </row>
    <row r="1138" spans="1:1">
      <c r="A1138" s="15"/>
    </row>
    <row r="1139" spans="1:1">
      <c r="A1139" s="15"/>
    </row>
    <row r="1140" spans="1:1">
      <c r="A1140" s="15"/>
    </row>
    <row r="1141" spans="1:1">
      <c r="A1141" s="15"/>
    </row>
    <row r="1142" spans="1:1">
      <c r="A1142" s="15"/>
    </row>
    <row r="1143" spans="1:1">
      <c r="A1143" s="15"/>
    </row>
    <row r="1144" spans="1:1">
      <c r="A1144" s="15"/>
    </row>
    <row r="1145" spans="1:1">
      <c r="A1145" s="15"/>
    </row>
    <row r="1146" spans="1:1">
      <c r="A1146" s="15"/>
    </row>
    <row r="1147" spans="1:1">
      <c r="A1147" s="15"/>
    </row>
    <row r="1148" spans="1:1">
      <c r="A1148" s="15"/>
    </row>
    <row r="1149" spans="1:1">
      <c r="A1149" s="15"/>
    </row>
    <row r="1150" spans="1:1">
      <c r="A1150" s="15"/>
    </row>
    <row r="1151" spans="1:1">
      <c r="A1151" s="15"/>
    </row>
    <row r="1152" spans="1:1">
      <c r="A1152" s="15"/>
    </row>
    <row r="1153" spans="1:1">
      <c r="A1153" s="15"/>
    </row>
    <row r="1154" spans="1:1">
      <c r="A1154" s="15"/>
    </row>
    <row r="1155" spans="1:1">
      <c r="A1155" s="15"/>
    </row>
    <row r="1156" spans="1:1">
      <c r="A1156" s="15"/>
    </row>
    <row r="1157" spans="1:1">
      <c r="A1157" s="15"/>
    </row>
    <row r="1158" spans="1:1">
      <c r="A1158" s="15"/>
    </row>
    <row r="1159" spans="1:1">
      <c r="A1159" s="15"/>
    </row>
    <row r="1160" spans="1:1">
      <c r="A1160" s="15"/>
    </row>
    <row r="1161" spans="1:1">
      <c r="A1161" s="15"/>
    </row>
    <row r="1162" spans="1:1">
      <c r="A1162" s="15"/>
    </row>
    <row r="1163" spans="1:1">
      <c r="A1163" s="15"/>
    </row>
    <row r="1164" spans="1:1">
      <c r="A1164" s="15"/>
    </row>
    <row r="1165" spans="1:1">
      <c r="A1165" s="15"/>
    </row>
    <row r="1166" spans="1:1">
      <c r="A1166" s="15"/>
    </row>
    <row r="1167" spans="1:1">
      <c r="A1167" s="15"/>
    </row>
    <row r="1168" spans="1:1">
      <c r="A1168" s="15"/>
    </row>
    <row r="1169" spans="1:1">
      <c r="A1169" s="15"/>
    </row>
    <row r="1170" spans="1:1">
      <c r="A1170" s="15"/>
    </row>
    <row r="1171" spans="1:1">
      <c r="A1171" s="15"/>
    </row>
    <row r="1172" spans="1:1">
      <c r="A1172" s="15"/>
    </row>
    <row r="1173" spans="1:1">
      <c r="A1173" s="15"/>
    </row>
    <row r="1174" spans="1:1">
      <c r="A1174" s="15"/>
    </row>
    <row r="1175" spans="1:1">
      <c r="A1175" s="15"/>
    </row>
    <row r="1176" spans="1:1">
      <c r="A1176" s="15"/>
    </row>
    <row r="1177" spans="1:1">
      <c r="A1177" s="15"/>
    </row>
    <row r="1178" spans="1:1">
      <c r="A1178" s="15"/>
    </row>
    <row r="1179" spans="1:1">
      <c r="A1179" s="15"/>
    </row>
    <row r="1180" spans="1:1">
      <c r="A1180" s="15"/>
    </row>
    <row r="1181" spans="1:1">
      <c r="A1181" s="15"/>
    </row>
    <row r="1182" spans="1:1">
      <c r="A1182" s="15"/>
    </row>
    <row r="1183" spans="1:1">
      <c r="A1183" s="15"/>
    </row>
    <row r="1184" spans="1:1">
      <c r="A1184" s="15"/>
    </row>
    <row r="1185" spans="1:1">
      <c r="A1185" s="15"/>
    </row>
    <row r="1186" spans="1:1">
      <c r="A1186" s="15"/>
    </row>
    <row r="1187" spans="1:1">
      <c r="A1187" s="15"/>
    </row>
    <row r="1188" spans="1:1">
      <c r="A1188" s="15"/>
    </row>
    <row r="1189" spans="1:1">
      <c r="A1189" s="15"/>
    </row>
    <row r="1190" spans="1:1">
      <c r="A1190" s="15"/>
    </row>
    <row r="1191" spans="1:1">
      <c r="A1191" s="15"/>
    </row>
    <row r="1192" spans="1:1">
      <c r="A1192" s="15"/>
    </row>
    <row r="1193" spans="1:1">
      <c r="A1193" s="15"/>
    </row>
    <row r="1194" spans="1:1">
      <c r="A1194" s="15"/>
    </row>
    <row r="1195" spans="1:1">
      <c r="A1195" s="15"/>
    </row>
    <row r="1196" spans="1:1">
      <c r="A1196" s="15"/>
    </row>
    <row r="1197" spans="1:1">
      <c r="A1197" s="15"/>
    </row>
    <row r="1198" spans="1:1">
      <c r="A1198" s="15"/>
    </row>
    <row r="1199" spans="1:1">
      <c r="A1199" s="15"/>
    </row>
    <row r="1200" spans="1:1">
      <c r="A1200" s="15"/>
    </row>
    <row r="1201" spans="1:1">
      <c r="A1201" s="15"/>
    </row>
    <row r="1202" spans="1:1">
      <c r="A1202" s="15"/>
    </row>
    <row r="1203" spans="1:1">
      <c r="A1203" s="15"/>
    </row>
    <row r="1204" spans="1:1">
      <c r="A1204" s="15"/>
    </row>
    <row r="1205" spans="1:1">
      <c r="A1205" s="15"/>
    </row>
    <row r="1206" spans="1:1">
      <c r="A1206" s="15"/>
    </row>
    <row r="1207" spans="1:1">
      <c r="A1207" s="15"/>
    </row>
    <row r="1208" spans="1:1">
      <c r="A1208" s="15"/>
    </row>
    <row r="1209" spans="1:1">
      <c r="A1209" s="15"/>
    </row>
    <row r="1210" spans="1:1">
      <c r="A1210" s="15"/>
    </row>
    <row r="1211" spans="1:1">
      <c r="A1211" s="15"/>
    </row>
    <row r="1212" spans="1:1">
      <c r="A1212" s="15"/>
    </row>
    <row r="1213" spans="1:1">
      <c r="A1213" s="15"/>
    </row>
    <row r="1214" spans="1:1">
      <c r="A1214" s="15"/>
    </row>
    <row r="1215" spans="1:1">
      <c r="A1215" s="15"/>
    </row>
    <row r="1216" spans="1:1">
      <c r="A1216" s="15"/>
    </row>
    <row r="1217" spans="1:1">
      <c r="A1217" s="15"/>
    </row>
    <row r="1218" spans="1:1">
      <c r="A1218" s="15"/>
    </row>
    <row r="1219" spans="1:1">
      <c r="A1219" s="15"/>
    </row>
    <row r="1220" spans="1:1">
      <c r="A1220" s="15"/>
    </row>
    <row r="1221" spans="1:1">
      <c r="A1221" s="15"/>
    </row>
    <row r="1222" spans="1:1">
      <c r="A1222" s="15"/>
    </row>
    <row r="1223" spans="1:1">
      <c r="A1223" s="15"/>
    </row>
    <row r="1224" spans="1:1">
      <c r="A1224" s="15"/>
    </row>
    <row r="1225" spans="1:1">
      <c r="A1225" s="15"/>
    </row>
    <row r="1226" spans="1:1">
      <c r="A1226" s="15"/>
    </row>
    <row r="1227" spans="1:1">
      <c r="A1227" s="15"/>
    </row>
    <row r="1228" spans="1:1">
      <c r="A1228" s="15"/>
    </row>
    <row r="1229" spans="1:1">
      <c r="A1229" s="15"/>
    </row>
    <row r="1230" spans="1:1">
      <c r="A1230" s="15"/>
    </row>
    <row r="1231" spans="1:1">
      <c r="A1231" s="15"/>
    </row>
    <row r="1232" spans="1:1">
      <c r="A1232" s="15"/>
    </row>
    <row r="1233" spans="1:1">
      <c r="A1233" s="15"/>
    </row>
    <row r="1234" spans="1:1">
      <c r="A1234" s="15"/>
    </row>
    <row r="1235" spans="1:1">
      <c r="A1235" s="15"/>
    </row>
    <row r="1236" spans="1:1">
      <c r="A1236" s="15"/>
    </row>
    <row r="1237" spans="1:1">
      <c r="A1237" s="15"/>
    </row>
    <row r="1238" spans="1:1">
      <c r="A1238" s="15"/>
    </row>
    <row r="1239" spans="1:1">
      <c r="A1239" s="15"/>
    </row>
    <row r="1240" spans="1:1">
      <c r="A1240" s="15"/>
    </row>
    <row r="1241" spans="1:1">
      <c r="A1241" s="15"/>
    </row>
    <row r="1242" spans="1:1">
      <c r="A1242" s="15"/>
    </row>
    <row r="1243" spans="1:1">
      <c r="A1243" s="15"/>
    </row>
    <row r="1244" spans="1:1">
      <c r="A1244" s="15"/>
    </row>
    <row r="1245" spans="1:1">
      <c r="A1245" s="15"/>
    </row>
    <row r="1246" spans="1:1">
      <c r="A1246" s="15"/>
    </row>
    <row r="1247" spans="1:1">
      <c r="A1247" s="15"/>
    </row>
    <row r="1248" spans="1:1">
      <c r="A1248" s="15"/>
    </row>
    <row r="1249" spans="1:1">
      <c r="A1249" s="15"/>
    </row>
    <row r="1250" spans="1:1">
      <c r="A1250" s="15"/>
    </row>
    <row r="1251" spans="1:1">
      <c r="A1251" s="15"/>
    </row>
    <row r="1252" spans="1:1">
      <c r="A1252" s="15"/>
    </row>
    <row r="1253" spans="1:1">
      <c r="A1253" s="15"/>
    </row>
    <row r="1254" spans="1:1">
      <c r="A1254" s="15"/>
    </row>
    <row r="1255" spans="1:1">
      <c r="A1255" s="15"/>
    </row>
    <row r="1256" spans="1:1">
      <c r="A1256" s="15"/>
    </row>
    <row r="1257" spans="1:1">
      <c r="A1257" s="15"/>
    </row>
    <row r="1258" spans="1:1">
      <c r="A1258" s="15"/>
    </row>
    <row r="1259" spans="1:1">
      <c r="A1259" s="15"/>
    </row>
    <row r="1260" spans="1:1">
      <c r="A1260" s="15"/>
    </row>
    <row r="1261" spans="1:1">
      <c r="A1261" s="15"/>
    </row>
    <row r="1262" spans="1:1">
      <c r="A1262" s="15"/>
    </row>
    <row r="1263" spans="1:1">
      <c r="A1263" s="15"/>
    </row>
    <row r="1264" spans="1:1">
      <c r="A1264" s="15"/>
    </row>
    <row r="1265" spans="1:1">
      <c r="A1265" s="15"/>
    </row>
    <row r="1266" spans="1:1">
      <c r="A1266" s="15"/>
    </row>
    <row r="1267" spans="1:1">
      <c r="A1267" s="15"/>
    </row>
    <row r="1268" spans="1:1">
      <c r="A1268" s="15"/>
    </row>
    <row r="1269" spans="1:1">
      <c r="A1269" s="15"/>
    </row>
    <row r="1270" spans="1:1">
      <c r="A1270" s="15"/>
    </row>
    <row r="1271" spans="1:1">
      <c r="A1271" s="15"/>
    </row>
    <row r="1272" spans="1:1">
      <c r="A1272" s="15"/>
    </row>
    <row r="1273" spans="1:1">
      <c r="A1273" s="15"/>
    </row>
    <row r="1274" spans="1:1">
      <c r="A1274" s="15"/>
    </row>
    <row r="1275" spans="1:1">
      <c r="A1275" s="15"/>
    </row>
    <row r="1276" spans="1:1">
      <c r="A1276" s="15"/>
    </row>
    <row r="1277" spans="1:1">
      <c r="A1277" s="15"/>
    </row>
    <row r="1278" spans="1:1">
      <c r="A1278" s="15"/>
    </row>
    <row r="1279" spans="1:1">
      <c r="A1279" s="15"/>
    </row>
    <row r="1280" spans="1:1">
      <c r="A1280" s="15"/>
    </row>
    <row r="1281" spans="1:1">
      <c r="A1281" s="15"/>
    </row>
    <row r="1282" spans="1:1">
      <c r="A1282" s="15"/>
    </row>
    <row r="1283" spans="1:1">
      <c r="A1283" s="15"/>
    </row>
    <row r="1284" spans="1:1">
      <c r="A1284" s="15"/>
    </row>
    <row r="1285" spans="1:1">
      <c r="A1285" s="15"/>
    </row>
    <row r="1286" spans="1:1">
      <c r="A1286" s="15"/>
    </row>
    <row r="1287" spans="1:1">
      <c r="A1287" s="15"/>
    </row>
    <row r="1288" spans="1:1">
      <c r="A1288" s="15"/>
    </row>
    <row r="1289" spans="1:1">
      <c r="A1289" s="15"/>
    </row>
    <row r="1290" spans="1:1">
      <c r="A1290" s="15"/>
    </row>
    <row r="1291" spans="1:1">
      <c r="A1291" s="15"/>
    </row>
    <row r="1292" spans="1:1">
      <c r="A1292" s="15"/>
    </row>
    <row r="1293" spans="1:1">
      <c r="A1293" s="15"/>
    </row>
    <row r="1294" spans="1:1">
      <c r="A1294" s="15"/>
    </row>
    <row r="1295" spans="1:1">
      <c r="A1295" s="15"/>
    </row>
    <row r="1296" spans="1:1">
      <c r="A1296" s="15"/>
    </row>
    <row r="1297" spans="1:1">
      <c r="A1297" s="15"/>
    </row>
    <row r="1298" spans="1:1">
      <c r="A1298" s="15"/>
    </row>
    <row r="1299" spans="1:1">
      <c r="A1299" s="15"/>
    </row>
    <row r="1300" spans="1:1">
      <c r="A1300" s="15"/>
    </row>
    <row r="1301" spans="1:1">
      <c r="A1301" s="15"/>
    </row>
    <row r="1302" spans="1:1">
      <c r="A1302" s="15"/>
    </row>
    <row r="1303" spans="1:1">
      <c r="A1303" s="15"/>
    </row>
    <row r="1304" spans="1:1">
      <c r="A1304" s="15"/>
    </row>
    <row r="1305" spans="1:1">
      <c r="A1305" s="15"/>
    </row>
    <row r="1306" spans="1:1">
      <c r="A1306" s="15"/>
    </row>
    <row r="1307" spans="1:1">
      <c r="A1307" s="15"/>
    </row>
    <row r="1308" spans="1:1">
      <c r="A1308" s="15"/>
    </row>
    <row r="1309" spans="1:1">
      <c r="A1309" s="15"/>
    </row>
    <row r="1310" spans="1:1">
      <c r="A1310" s="15"/>
    </row>
    <row r="1311" spans="1:1">
      <c r="A1311" s="15"/>
    </row>
    <row r="1312" spans="1:1">
      <c r="A1312" s="15"/>
    </row>
    <row r="1313" spans="1:1">
      <c r="A1313" s="15"/>
    </row>
    <row r="1314" spans="1:1">
      <c r="A1314" s="15"/>
    </row>
    <row r="1315" spans="1:1">
      <c r="A1315" s="15"/>
    </row>
    <row r="1316" spans="1:1">
      <c r="A1316" s="15"/>
    </row>
    <row r="1317" spans="1:1">
      <c r="A1317" s="15"/>
    </row>
    <row r="1318" spans="1:1">
      <c r="A1318" s="15"/>
    </row>
    <row r="1319" spans="1:1">
      <c r="A1319" s="15"/>
    </row>
    <row r="1320" spans="1:1">
      <c r="A1320" s="15"/>
    </row>
    <row r="1321" spans="1:1">
      <c r="A1321" s="15"/>
    </row>
    <row r="1322" spans="1:1">
      <c r="A1322" s="15"/>
    </row>
    <row r="1323" spans="1:1">
      <c r="A1323" s="15"/>
    </row>
    <row r="1324" spans="1:1">
      <c r="A1324" s="15"/>
    </row>
    <row r="1325" spans="1:1">
      <c r="A1325" s="15"/>
    </row>
    <row r="1326" spans="1:1">
      <c r="A1326" s="15"/>
    </row>
    <row r="1327" spans="1:1">
      <c r="A1327" s="15"/>
    </row>
    <row r="1328" spans="1:1">
      <c r="A1328" s="15"/>
    </row>
    <row r="1329" spans="1:1">
      <c r="A1329" s="15"/>
    </row>
    <row r="1330" spans="1:1">
      <c r="A1330" s="15"/>
    </row>
    <row r="1331" spans="1:1">
      <c r="A1331" s="15"/>
    </row>
    <row r="1332" spans="1:1">
      <c r="A1332" s="15"/>
    </row>
    <row r="1333" spans="1:1">
      <c r="A1333" s="15"/>
    </row>
    <row r="1334" spans="1:1">
      <c r="A1334" s="15"/>
    </row>
    <row r="1335" spans="1:1">
      <c r="A1335" s="15"/>
    </row>
    <row r="1336" spans="1:1">
      <c r="A1336" s="15"/>
    </row>
    <row r="1337" spans="1:1">
      <c r="A1337" s="15"/>
    </row>
    <row r="1338" spans="1:1">
      <c r="A1338" s="15"/>
    </row>
    <row r="1339" spans="1:1">
      <c r="A1339" s="15"/>
    </row>
    <row r="1340" spans="1:1">
      <c r="A1340" s="15"/>
    </row>
    <row r="1341" spans="1:1">
      <c r="A1341" s="15"/>
    </row>
    <row r="1342" spans="1:1">
      <c r="A1342" s="15"/>
    </row>
    <row r="1343" spans="1:1">
      <c r="A1343" s="15"/>
    </row>
    <row r="1344" spans="1:1">
      <c r="A1344" s="15"/>
    </row>
    <row r="1345" spans="1:1">
      <c r="A1345" s="15"/>
    </row>
    <row r="1346" spans="1:1">
      <c r="A1346" s="15"/>
    </row>
    <row r="1347" spans="1:1">
      <c r="A1347" s="15"/>
    </row>
    <row r="1348" spans="1:1">
      <c r="A1348" s="15"/>
    </row>
    <row r="1349" spans="1:1">
      <c r="A1349" s="15"/>
    </row>
    <row r="1350" spans="1:1">
      <c r="A1350" s="15"/>
    </row>
    <row r="1351" spans="1:1">
      <c r="A1351" s="15"/>
    </row>
    <row r="1352" spans="1:1">
      <c r="A1352" s="15"/>
    </row>
    <row r="1353" spans="1:1">
      <c r="A1353" s="15"/>
    </row>
    <row r="1354" spans="1:1">
      <c r="A1354" s="15"/>
    </row>
    <row r="1355" spans="1:1">
      <c r="A1355" s="15"/>
    </row>
    <row r="1356" spans="1:1">
      <c r="A1356" s="15"/>
    </row>
    <row r="1357" spans="1:1">
      <c r="A1357" s="15"/>
    </row>
    <row r="1358" spans="1:1">
      <c r="A1358" s="15"/>
    </row>
    <row r="1359" spans="1:1">
      <c r="A1359" s="15"/>
    </row>
    <row r="1360" spans="1:1">
      <c r="A1360" s="15"/>
    </row>
    <row r="1361" spans="1:1">
      <c r="A1361" s="15"/>
    </row>
    <row r="1362" spans="1:1">
      <c r="A1362" s="15"/>
    </row>
    <row r="1363" spans="1:1">
      <c r="A1363" s="15"/>
    </row>
    <row r="1364" spans="1:1">
      <c r="A1364" s="15"/>
    </row>
    <row r="1365" spans="1:1">
      <c r="A1365" s="15"/>
    </row>
    <row r="1366" spans="1:1">
      <c r="A1366" s="15"/>
    </row>
    <row r="1367" spans="1:1">
      <c r="A1367" s="15"/>
    </row>
    <row r="1368" spans="1:1">
      <c r="A1368" s="15"/>
    </row>
    <row r="1369" spans="1:1">
      <c r="A1369" s="15"/>
    </row>
    <row r="1370" spans="1:1">
      <c r="A1370" s="15"/>
    </row>
    <row r="1371" spans="1:1">
      <c r="A1371" s="15"/>
    </row>
    <row r="1372" spans="1:1">
      <c r="A1372" s="15"/>
    </row>
    <row r="1373" spans="1:1">
      <c r="A1373" s="15"/>
    </row>
    <row r="1374" spans="1:1">
      <c r="A1374" s="15"/>
    </row>
    <row r="1375" spans="1:1">
      <c r="A1375" s="15"/>
    </row>
    <row r="1376" spans="1:1">
      <c r="A1376" s="15"/>
    </row>
    <row r="1377" spans="1:1">
      <c r="A1377" s="15"/>
    </row>
    <row r="1378" spans="1:1">
      <c r="A1378" s="15"/>
    </row>
    <row r="1379" spans="1:1">
      <c r="A1379" s="15"/>
    </row>
    <row r="1380" spans="1:1">
      <c r="A1380" s="15"/>
    </row>
    <row r="1381" spans="1:1">
      <c r="A1381" s="15"/>
    </row>
    <row r="1382" spans="1:1">
      <c r="A1382" s="15"/>
    </row>
    <row r="1383" spans="1:1">
      <c r="A1383" s="15"/>
    </row>
    <row r="1384" spans="1:1">
      <c r="A1384" s="15"/>
    </row>
    <row r="1385" spans="1:1">
      <c r="A1385" s="15"/>
    </row>
    <row r="1386" spans="1:1">
      <c r="A1386" s="15"/>
    </row>
    <row r="1387" spans="1:1">
      <c r="A1387" s="15"/>
    </row>
    <row r="1388" spans="1:1">
      <c r="A1388" s="15"/>
    </row>
    <row r="1389" spans="1:1">
      <c r="A1389" s="15"/>
    </row>
    <row r="1390" spans="1:1">
      <c r="A1390" s="15"/>
    </row>
    <row r="1391" spans="1:1">
      <c r="A1391" s="15"/>
    </row>
    <row r="1392" spans="1:1">
      <c r="A1392" s="15"/>
    </row>
    <row r="1393" spans="1:1">
      <c r="A1393" s="15"/>
    </row>
    <row r="1394" spans="1:1">
      <c r="A1394" s="15"/>
    </row>
    <row r="1395" spans="1:1">
      <c r="A1395" s="15"/>
    </row>
    <row r="1396" spans="1:1">
      <c r="A1396" s="15"/>
    </row>
    <row r="1397" spans="1:1">
      <c r="A1397" s="15"/>
    </row>
    <row r="1398" spans="1:1">
      <c r="A1398" s="15"/>
    </row>
    <row r="1399" spans="1:1">
      <c r="A1399" s="15"/>
    </row>
    <row r="1400" spans="1:1">
      <c r="A1400" s="15"/>
    </row>
    <row r="1401" spans="1:1">
      <c r="A1401" s="15"/>
    </row>
    <row r="1402" spans="1:1">
      <c r="A1402" s="15"/>
    </row>
    <row r="1403" spans="1:1">
      <c r="A1403" s="15"/>
    </row>
    <row r="1404" spans="1:1">
      <c r="A1404" s="15"/>
    </row>
    <row r="1405" spans="1:1">
      <c r="A1405" s="15"/>
    </row>
    <row r="1406" spans="1:1">
      <c r="A1406" s="15"/>
    </row>
    <row r="1407" spans="1:1">
      <c r="A1407" s="15"/>
    </row>
    <row r="1408" spans="1:1">
      <c r="A1408" s="15"/>
    </row>
    <row r="1409" spans="1:1">
      <c r="A1409" s="15"/>
    </row>
    <row r="1410" spans="1:1">
      <c r="A1410" s="15"/>
    </row>
    <row r="1411" spans="1:1">
      <c r="A1411" s="15"/>
    </row>
    <row r="1412" spans="1:1">
      <c r="A1412" s="15"/>
    </row>
    <row r="1413" spans="1:1">
      <c r="A1413" s="15"/>
    </row>
    <row r="1414" spans="1:1">
      <c r="A1414" s="15"/>
    </row>
    <row r="1415" spans="1:1">
      <c r="A1415" s="15"/>
    </row>
    <row r="1416" spans="1:1">
      <c r="A1416" s="15"/>
    </row>
    <row r="1417" spans="1:1">
      <c r="A1417" s="15"/>
    </row>
    <row r="1418" spans="1:1">
      <c r="A1418" s="15"/>
    </row>
    <row r="1419" spans="1:1">
      <c r="A1419" s="15"/>
    </row>
    <row r="1420" spans="1:1">
      <c r="A1420" s="15"/>
    </row>
    <row r="1421" spans="1:1">
      <c r="A1421" s="15"/>
    </row>
    <row r="1422" spans="1:1">
      <c r="A1422" s="15"/>
    </row>
    <row r="1423" spans="1:1">
      <c r="A1423" s="15"/>
    </row>
    <row r="1424" spans="1:1">
      <c r="A1424" s="15"/>
    </row>
    <row r="1425" spans="1:1">
      <c r="A1425" s="15"/>
    </row>
    <row r="1426" spans="1:1">
      <c r="A1426" s="15"/>
    </row>
    <row r="1427" spans="1:1">
      <c r="A1427" s="15"/>
    </row>
    <row r="1428" spans="1:1">
      <c r="A1428" s="15"/>
    </row>
    <row r="1429" spans="1:1">
      <c r="A1429" s="15"/>
    </row>
    <row r="1430" spans="1:1">
      <c r="A1430" s="15"/>
    </row>
    <row r="1431" spans="1:1">
      <c r="A1431" s="15"/>
    </row>
    <row r="1432" spans="1:1">
      <c r="A1432" s="15"/>
    </row>
    <row r="1433" spans="1:1">
      <c r="A1433" s="15"/>
    </row>
    <row r="1434" spans="1:1">
      <c r="A1434" s="15"/>
    </row>
    <row r="1435" spans="1:1">
      <c r="A1435" s="15"/>
    </row>
    <row r="1436" spans="1:1">
      <c r="A1436" s="15"/>
    </row>
    <row r="1437" spans="1:1">
      <c r="A1437" s="15"/>
    </row>
    <row r="1438" spans="1:1">
      <c r="A1438" s="15"/>
    </row>
    <row r="1439" spans="1:1">
      <c r="A1439" s="15"/>
    </row>
    <row r="1440" spans="1:1">
      <c r="A1440" s="15"/>
    </row>
    <row r="1441" spans="1:1">
      <c r="A1441" s="15"/>
    </row>
    <row r="1442" spans="1:1">
      <c r="A1442" s="15"/>
    </row>
    <row r="1443" spans="1:1">
      <c r="A1443" s="15"/>
    </row>
    <row r="1444" spans="1:1">
      <c r="A1444" s="15"/>
    </row>
    <row r="1445" spans="1:1">
      <c r="A1445" s="15"/>
    </row>
    <row r="1446" spans="1:1">
      <c r="A1446" s="15"/>
    </row>
    <row r="1447" spans="1:1">
      <c r="A1447" s="15"/>
    </row>
    <row r="1448" spans="1:1">
      <c r="A1448" s="15"/>
    </row>
    <row r="1449" spans="1:1">
      <c r="A1449" s="15"/>
    </row>
    <row r="1450" spans="1:1">
      <c r="A1450" s="15"/>
    </row>
    <row r="1451" spans="1:1">
      <c r="A1451" s="15"/>
    </row>
    <row r="1452" spans="1:1">
      <c r="A1452" s="15"/>
    </row>
    <row r="1453" spans="1:1">
      <c r="A1453" s="15"/>
    </row>
    <row r="1454" spans="1:1">
      <c r="A1454" s="15"/>
    </row>
    <row r="1455" spans="1:1">
      <c r="A1455" s="15"/>
    </row>
    <row r="1456" spans="1:1">
      <c r="A1456" s="15"/>
    </row>
    <row r="1457" spans="1:1">
      <c r="A1457" s="15"/>
    </row>
    <row r="1458" spans="1:1">
      <c r="A1458" s="15"/>
    </row>
    <row r="1459" spans="1:1">
      <c r="A1459" s="15"/>
    </row>
    <row r="1460" spans="1:1">
      <c r="A1460" s="15"/>
    </row>
    <row r="1461" spans="1:1">
      <c r="A1461" s="15"/>
    </row>
    <row r="1462" spans="1:1">
      <c r="A1462" s="15"/>
    </row>
    <row r="1463" spans="1:1">
      <c r="A1463" s="15"/>
    </row>
    <row r="1464" spans="1:1">
      <c r="A1464" s="15"/>
    </row>
    <row r="1465" spans="1:1">
      <c r="A1465" s="15"/>
    </row>
    <row r="1466" spans="1:1">
      <c r="A1466" s="15"/>
    </row>
    <row r="1467" spans="1:1">
      <c r="A1467" s="15"/>
    </row>
    <row r="1468" spans="1:1">
      <c r="A1468" s="15"/>
    </row>
    <row r="1469" spans="1:1">
      <c r="A1469" s="15"/>
    </row>
    <row r="1470" spans="1:1">
      <c r="A1470" s="15"/>
    </row>
    <row r="1471" spans="1:1">
      <c r="A1471" s="15"/>
    </row>
    <row r="1472" spans="1:1">
      <c r="A1472" s="15"/>
    </row>
    <row r="1473" spans="1:1">
      <c r="A1473" s="15"/>
    </row>
    <row r="1474" spans="1:1">
      <c r="A1474" s="15"/>
    </row>
    <row r="1475" spans="1:1">
      <c r="A1475" s="15"/>
    </row>
    <row r="1476" spans="1:1">
      <c r="A1476" s="15"/>
    </row>
    <row r="1477" spans="1:1">
      <c r="A1477" s="15"/>
    </row>
    <row r="1478" spans="1:1">
      <c r="A1478" s="15"/>
    </row>
    <row r="1479" spans="1:1">
      <c r="A1479" s="15"/>
    </row>
    <row r="1480" spans="1:1">
      <c r="A1480" s="15"/>
    </row>
    <row r="1481" spans="1:1">
      <c r="A1481" s="15"/>
    </row>
    <row r="1482" spans="1:1">
      <c r="A1482" s="15"/>
    </row>
    <row r="1483" spans="1:1">
      <c r="A1483" s="15"/>
    </row>
    <row r="1484" spans="1:1">
      <c r="A1484" s="15"/>
    </row>
    <row r="1485" spans="1:1">
      <c r="A1485" s="15"/>
    </row>
    <row r="1486" spans="1:1">
      <c r="A1486" s="15"/>
    </row>
    <row r="1487" spans="1:1">
      <c r="A1487" s="15"/>
    </row>
    <row r="1488" spans="1:1">
      <c r="A1488" s="15"/>
    </row>
    <row r="1489" spans="1:1">
      <c r="A1489" s="15"/>
    </row>
    <row r="1490" spans="1:1">
      <c r="A1490" s="15"/>
    </row>
    <row r="1491" spans="1:1">
      <c r="A1491" s="15"/>
    </row>
    <row r="1492" spans="1:1">
      <c r="A1492" s="15"/>
    </row>
    <row r="1493" spans="1:1">
      <c r="A1493" s="15"/>
    </row>
    <row r="1494" spans="1:1">
      <c r="A1494" s="15"/>
    </row>
    <row r="1495" spans="1:1">
      <c r="A1495" s="15"/>
    </row>
    <row r="1496" spans="1:1">
      <c r="A1496" s="15"/>
    </row>
    <row r="1497" spans="1:1">
      <c r="A1497" s="15"/>
    </row>
    <row r="1498" spans="1:1">
      <c r="A1498" s="15"/>
    </row>
    <row r="1499" spans="1:1">
      <c r="A1499" s="15"/>
    </row>
    <row r="1500" spans="1:1">
      <c r="A1500" s="15"/>
    </row>
    <row r="1501" spans="1:1">
      <c r="A1501" s="15"/>
    </row>
    <row r="1502" spans="1:1">
      <c r="A1502" s="15"/>
    </row>
    <row r="1503" spans="1:1">
      <c r="A1503" s="15"/>
    </row>
    <row r="1504" spans="1:1">
      <c r="A1504" s="15"/>
    </row>
    <row r="1505" spans="1:1">
      <c r="A1505" s="15"/>
    </row>
    <row r="1506" spans="1:1">
      <c r="A1506" s="15"/>
    </row>
    <row r="1507" spans="1:1">
      <c r="A1507" s="15"/>
    </row>
    <row r="1508" spans="1:1">
      <c r="A1508" s="15"/>
    </row>
    <row r="1509" spans="1:1">
      <c r="A1509" s="15"/>
    </row>
    <row r="1510" spans="1:1">
      <c r="A1510" s="15"/>
    </row>
    <row r="1511" spans="1:1">
      <c r="A1511" s="15"/>
    </row>
    <row r="1512" spans="1:1">
      <c r="A1512" s="15"/>
    </row>
    <row r="1513" spans="1:1">
      <c r="A1513" s="15"/>
    </row>
    <row r="1514" spans="1:1">
      <c r="A1514" s="15"/>
    </row>
    <row r="1515" spans="1:1">
      <c r="A1515" s="15"/>
    </row>
    <row r="1516" spans="1:1">
      <c r="A1516" s="15"/>
    </row>
    <row r="1517" spans="1:1">
      <c r="A1517" s="15"/>
    </row>
    <row r="1518" spans="1:1">
      <c r="A1518" s="15"/>
    </row>
    <row r="1519" spans="1:1">
      <c r="A1519" s="15"/>
    </row>
    <row r="1520" spans="1:1">
      <c r="A1520" s="15"/>
    </row>
    <row r="1521" spans="1:1">
      <c r="A1521" s="15"/>
    </row>
    <row r="1522" spans="1:1">
      <c r="A1522" s="15"/>
    </row>
    <row r="1523" spans="1:1">
      <c r="A1523" s="15"/>
    </row>
    <row r="1524" spans="1:1">
      <c r="A1524" s="15"/>
    </row>
    <row r="1525" spans="1:1">
      <c r="A1525" s="15"/>
    </row>
    <row r="1526" spans="1:1">
      <c r="A1526" s="15"/>
    </row>
    <row r="1527" spans="1:1">
      <c r="A1527" s="15"/>
    </row>
    <row r="1528" spans="1:1">
      <c r="A1528" s="15"/>
    </row>
    <row r="1529" spans="1:1">
      <c r="A1529" s="15"/>
    </row>
    <row r="1530" spans="1:1">
      <c r="A1530" s="15"/>
    </row>
    <row r="1531" spans="1:1">
      <c r="A1531" s="15"/>
    </row>
    <row r="1532" spans="1:1">
      <c r="A1532" s="15"/>
    </row>
    <row r="1533" spans="1:1">
      <c r="A1533" s="15"/>
    </row>
    <row r="1534" spans="1:1">
      <c r="A1534" s="15"/>
    </row>
    <row r="1535" spans="1:1">
      <c r="A1535" s="15"/>
    </row>
    <row r="1536" spans="1:1">
      <c r="A1536" s="15"/>
    </row>
    <row r="1537" spans="1:1">
      <c r="A1537" s="15"/>
    </row>
    <row r="1538" spans="1:1">
      <c r="A1538" s="15"/>
    </row>
    <row r="1539" spans="1:1">
      <c r="A1539" s="15"/>
    </row>
    <row r="1540" spans="1:1">
      <c r="A1540" s="15"/>
    </row>
    <row r="1541" spans="1:1">
      <c r="A1541" s="15"/>
    </row>
    <row r="1542" spans="1:1">
      <c r="A1542" s="15"/>
    </row>
    <row r="1543" spans="1:1">
      <c r="A1543" s="15"/>
    </row>
    <row r="1544" spans="1:1">
      <c r="A1544" s="15"/>
    </row>
    <row r="1545" spans="1:1">
      <c r="A1545" s="15"/>
    </row>
    <row r="1546" spans="1:1">
      <c r="A1546" s="15"/>
    </row>
    <row r="1547" spans="1:1">
      <c r="A1547" s="15"/>
    </row>
    <row r="1548" spans="1:1">
      <c r="A1548" s="15"/>
    </row>
    <row r="1549" spans="1:1">
      <c r="A1549" s="15"/>
    </row>
    <row r="1550" spans="1:1">
      <c r="A1550" s="15"/>
    </row>
    <row r="1551" spans="1:1">
      <c r="A1551" s="15"/>
    </row>
    <row r="1552" spans="1:1">
      <c r="A1552" s="15"/>
    </row>
    <row r="1553" spans="1:1">
      <c r="A1553" s="15"/>
    </row>
    <row r="1554" spans="1:1">
      <c r="A1554" s="15"/>
    </row>
    <row r="1555" spans="1:1">
      <c r="A1555" s="15"/>
    </row>
    <row r="1556" spans="1:1">
      <c r="A1556" s="15"/>
    </row>
    <row r="1557" spans="1:1">
      <c r="A1557" s="15"/>
    </row>
    <row r="1558" spans="1:1">
      <c r="A1558" s="15"/>
    </row>
    <row r="1559" spans="1:1">
      <c r="A1559" s="15"/>
    </row>
    <row r="1560" spans="1:1">
      <c r="A1560" s="15"/>
    </row>
    <row r="1561" spans="1:1">
      <c r="A1561" s="15"/>
    </row>
    <row r="1562" spans="1:1">
      <c r="A1562" s="15"/>
    </row>
    <row r="1563" spans="1:1">
      <c r="A1563" s="15"/>
    </row>
    <row r="1564" spans="1:1">
      <c r="A1564" s="15"/>
    </row>
    <row r="1565" spans="1:1">
      <c r="A1565" s="15"/>
    </row>
    <row r="1566" spans="1:1">
      <c r="A1566" s="15"/>
    </row>
    <row r="1567" spans="1:1">
      <c r="A1567" s="15"/>
    </row>
    <row r="1568" spans="1:1">
      <c r="A1568" s="15"/>
    </row>
    <row r="1569" spans="1:1">
      <c r="A1569" s="15"/>
    </row>
    <row r="1570" spans="1:1">
      <c r="A1570" s="15"/>
    </row>
    <row r="1571" spans="1:1">
      <c r="A1571" s="15"/>
    </row>
    <row r="1572" spans="1:1">
      <c r="A1572" s="15"/>
    </row>
    <row r="1573" spans="1:1">
      <c r="A1573" s="15"/>
    </row>
    <row r="1574" spans="1:1">
      <c r="A1574" s="15"/>
    </row>
    <row r="1575" spans="1:1">
      <c r="A1575" s="15"/>
    </row>
    <row r="1576" spans="1:1">
      <c r="A1576" s="15"/>
    </row>
    <row r="1577" spans="1:1">
      <c r="A1577" s="15"/>
    </row>
    <row r="1578" spans="1:1">
      <c r="A1578" s="15"/>
    </row>
    <row r="1579" spans="1:1">
      <c r="A1579" s="15"/>
    </row>
    <row r="1580" spans="1:1">
      <c r="A1580" s="15"/>
    </row>
    <row r="1581" spans="1:1">
      <c r="A1581" s="15"/>
    </row>
    <row r="1582" spans="1:1">
      <c r="A1582" s="15"/>
    </row>
    <row r="1583" spans="1:1">
      <c r="A1583" s="15"/>
    </row>
    <row r="1584" spans="1:1">
      <c r="A1584" s="15"/>
    </row>
    <row r="1585" spans="1:1">
      <c r="A1585" s="15"/>
    </row>
    <row r="1586" spans="1:1">
      <c r="A1586" s="15"/>
    </row>
    <row r="1587" spans="1:1">
      <c r="A1587" s="15"/>
    </row>
    <row r="1588" spans="1:1">
      <c r="A1588" s="15"/>
    </row>
    <row r="1589" spans="1:1">
      <c r="A1589" s="15"/>
    </row>
    <row r="1590" spans="1:1">
      <c r="A1590" s="15"/>
    </row>
    <row r="1591" spans="1:1">
      <c r="A1591" s="15"/>
    </row>
    <row r="1592" spans="1:1">
      <c r="A1592" s="15"/>
    </row>
    <row r="1593" spans="1:1">
      <c r="A1593" s="15"/>
    </row>
    <row r="1594" spans="1:1">
      <c r="A1594" s="15"/>
    </row>
    <row r="1595" spans="1:1">
      <c r="A1595" s="15"/>
    </row>
    <row r="1596" spans="1:1">
      <c r="A1596" s="15"/>
    </row>
    <row r="1597" spans="1:1">
      <c r="A1597" s="15"/>
    </row>
    <row r="1598" spans="1:1">
      <c r="A1598" s="15"/>
    </row>
    <row r="1599" spans="1:1">
      <c r="A1599" s="15"/>
    </row>
    <row r="1600" spans="1:1">
      <c r="A1600" s="15"/>
    </row>
    <row r="1601" spans="1:1">
      <c r="A1601" s="15"/>
    </row>
    <row r="1602" spans="1:1">
      <c r="A1602" s="15"/>
    </row>
    <row r="1603" spans="1:1">
      <c r="A1603" s="15"/>
    </row>
    <row r="1604" spans="1:1">
      <c r="A1604" s="15"/>
    </row>
    <row r="1605" spans="1:1">
      <c r="A1605" s="15"/>
    </row>
    <row r="1606" spans="1:1">
      <c r="A1606" s="15"/>
    </row>
    <row r="1607" spans="1:1">
      <c r="A1607" s="15"/>
    </row>
    <row r="1608" spans="1:1">
      <c r="A1608" s="15"/>
    </row>
    <row r="1609" spans="1:1">
      <c r="A1609" s="15"/>
    </row>
    <row r="1610" spans="1:1">
      <c r="A1610" s="15"/>
    </row>
    <row r="1611" spans="1:1">
      <c r="A1611" s="15"/>
    </row>
    <row r="1612" spans="1:1">
      <c r="A1612" s="15"/>
    </row>
    <row r="1613" spans="1:1">
      <c r="A1613" s="15"/>
    </row>
    <row r="1614" spans="1:1">
      <c r="A1614" s="15"/>
    </row>
    <row r="1615" spans="1:1">
      <c r="A1615" s="15"/>
    </row>
    <row r="1616" spans="1:1">
      <c r="A1616" s="15"/>
    </row>
    <row r="1617" spans="1:1">
      <c r="A1617" s="15"/>
    </row>
    <row r="1618" spans="1:1">
      <c r="A1618" s="15"/>
    </row>
    <row r="1619" spans="1:1">
      <c r="A1619" s="15"/>
    </row>
    <row r="1620" spans="1:1">
      <c r="A1620" s="15"/>
    </row>
    <row r="1621" spans="1:1">
      <c r="A1621" s="15"/>
    </row>
    <row r="1622" spans="1:1">
      <c r="A1622" s="15"/>
    </row>
    <row r="1623" spans="1:1">
      <c r="A1623" s="15"/>
    </row>
    <row r="1624" spans="1:1">
      <c r="A1624" s="15"/>
    </row>
    <row r="1625" spans="1:1">
      <c r="A1625" s="15"/>
    </row>
    <row r="1626" spans="1:1">
      <c r="A1626" s="15"/>
    </row>
    <row r="1627" spans="1:1">
      <c r="A1627" s="15"/>
    </row>
    <row r="1628" spans="1:1">
      <c r="A1628" s="15"/>
    </row>
    <row r="1629" spans="1:1">
      <c r="A1629" s="15"/>
    </row>
    <row r="1630" spans="1:1">
      <c r="A1630" s="15"/>
    </row>
    <row r="1631" spans="1:1">
      <c r="A1631" s="15"/>
    </row>
    <row r="1632" spans="1:1">
      <c r="A1632" s="15"/>
    </row>
    <row r="1633" spans="1:1">
      <c r="A1633" s="15"/>
    </row>
    <row r="1634" spans="1:1">
      <c r="A1634" s="15"/>
    </row>
    <row r="1635" spans="1:1">
      <c r="A1635" s="15"/>
    </row>
    <row r="1636" spans="1:1">
      <c r="A1636" s="15"/>
    </row>
    <row r="1637" spans="1:1">
      <c r="A1637" s="15"/>
    </row>
    <row r="1638" spans="1:1">
      <c r="A1638" s="15"/>
    </row>
    <row r="1639" spans="1:1">
      <c r="A1639" s="15"/>
    </row>
    <row r="1640" spans="1:1">
      <c r="A1640" s="15"/>
    </row>
    <row r="1641" spans="1:1">
      <c r="A1641" s="15"/>
    </row>
    <row r="1642" spans="1:1">
      <c r="A1642" s="15"/>
    </row>
    <row r="1643" spans="1:1">
      <c r="A1643" s="15"/>
    </row>
    <row r="1644" spans="1:1">
      <c r="A1644" s="15"/>
    </row>
    <row r="1645" spans="1:1">
      <c r="A1645" s="15"/>
    </row>
    <row r="1646" spans="1:1">
      <c r="A1646" s="15"/>
    </row>
    <row r="1647" spans="1:1">
      <c r="A1647" s="15"/>
    </row>
    <row r="1648" spans="1:1">
      <c r="A1648" s="15"/>
    </row>
    <row r="1649" spans="1:1">
      <c r="A1649" s="15"/>
    </row>
    <row r="1650" spans="1:1">
      <c r="A1650" s="15"/>
    </row>
    <row r="1651" spans="1:1">
      <c r="A1651" s="15"/>
    </row>
    <row r="1652" spans="1:1">
      <c r="A1652" s="15"/>
    </row>
    <row r="1653" spans="1:1">
      <c r="A1653" s="15"/>
    </row>
    <row r="1654" spans="1:1">
      <c r="A1654" s="15"/>
    </row>
    <row r="1655" spans="1:1">
      <c r="A1655" s="15"/>
    </row>
    <row r="1656" spans="1:1">
      <c r="A1656" s="15"/>
    </row>
    <row r="1657" spans="1:1">
      <c r="A1657" s="15"/>
    </row>
    <row r="1658" spans="1:1">
      <c r="A1658" s="15"/>
    </row>
    <row r="1659" spans="1:1">
      <c r="A1659" s="15"/>
    </row>
    <row r="1660" spans="1:1">
      <c r="A1660" s="15"/>
    </row>
    <row r="1661" spans="1:1">
      <c r="A1661" s="15"/>
    </row>
    <row r="1662" spans="1:1">
      <c r="A1662" s="15"/>
    </row>
    <row r="1663" spans="1:1">
      <c r="A1663" s="15"/>
    </row>
    <row r="1664" spans="1:1">
      <c r="A1664" s="15"/>
    </row>
    <row r="1665" spans="1:1">
      <c r="A1665" s="15"/>
    </row>
    <row r="1666" spans="1:1">
      <c r="A1666" s="15"/>
    </row>
    <row r="1667" spans="1:1">
      <c r="A1667" s="15"/>
    </row>
    <row r="1668" spans="1:1">
      <c r="A1668" s="15"/>
    </row>
    <row r="1669" spans="1:1">
      <c r="A1669" s="15"/>
    </row>
    <row r="1670" spans="1:1">
      <c r="A1670" s="15"/>
    </row>
    <row r="1671" spans="1:1">
      <c r="A1671" s="15"/>
    </row>
    <row r="1672" spans="1:1">
      <c r="A1672" s="15"/>
    </row>
    <row r="1673" spans="1:1">
      <c r="A1673" s="15"/>
    </row>
    <row r="1674" spans="1:1">
      <c r="A1674" s="15"/>
    </row>
    <row r="1675" spans="1:1">
      <c r="A1675" s="15"/>
    </row>
    <row r="1676" spans="1:1">
      <c r="A1676" s="15"/>
    </row>
    <row r="1677" spans="1:1">
      <c r="A1677" s="15"/>
    </row>
    <row r="1678" spans="1:1">
      <c r="A1678" s="15"/>
    </row>
    <row r="1679" spans="1:1">
      <c r="A1679" s="15"/>
    </row>
    <row r="1680" spans="1:1">
      <c r="A1680" s="15"/>
    </row>
    <row r="1681" spans="1:1">
      <c r="A1681" s="15"/>
    </row>
    <row r="1682" spans="1:1">
      <c r="A1682" s="15"/>
    </row>
    <row r="1683" spans="1:1">
      <c r="A1683" s="15"/>
    </row>
    <row r="1684" spans="1:1">
      <c r="A1684" s="15"/>
    </row>
    <row r="1685" spans="1:1">
      <c r="A1685" s="15"/>
    </row>
    <row r="1686" spans="1:1">
      <c r="A1686" s="15"/>
    </row>
    <row r="1687" spans="1:1">
      <c r="A1687" s="15"/>
    </row>
    <row r="1688" spans="1:1">
      <c r="A1688" s="15"/>
    </row>
    <row r="1689" spans="1:1">
      <c r="A1689" s="15"/>
    </row>
    <row r="1690" spans="1:1">
      <c r="A1690" s="15"/>
    </row>
    <row r="1691" spans="1:1">
      <c r="A1691" s="15"/>
    </row>
    <row r="1692" spans="1:1">
      <c r="A1692" s="15"/>
    </row>
    <row r="1693" spans="1:1">
      <c r="A1693" s="15"/>
    </row>
    <row r="1694" spans="1:1">
      <c r="A1694" s="15"/>
    </row>
    <row r="1695" spans="1:1">
      <c r="A1695" s="15"/>
    </row>
    <row r="1696" spans="1:1">
      <c r="A1696" s="15"/>
    </row>
    <row r="1697" spans="1:1">
      <c r="A1697" s="15"/>
    </row>
    <row r="1698" spans="1:1">
      <c r="A1698" s="15"/>
    </row>
    <row r="1699" spans="1:1">
      <c r="A1699" s="15"/>
    </row>
    <row r="1700" spans="1:1">
      <c r="A1700" s="15"/>
    </row>
    <row r="1701" spans="1:1">
      <c r="A1701" s="15"/>
    </row>
    <row r="1702" spans="1:1">
      <c r="A1702" s="15"/>
    </row>
    <row r="1703" spans="1:1">
      <c r="A1703" s="15"/>
    </row>
    <row r="1704" spans="1:1">
      <c r="A1704" s="15"/>
    </row>
    <row r="1705" spans="1:1">
      <c r="A1705" s="15"/>
    </row>
    <row r="1706" spans="1:1">
      <c r="A1706" s="15"/>
    </row>
    <row r="1707" spans="1:1">
      <c r="A1707" s="15"/>
    </row>
    <row r="1708" spans="1:1">
      <c r="A1708" s="15"/>
    </row>
    <row r="1709" spans="1:1">
      <c r="A1709" s="15"/>
    </row>
    <row r="1710" spans="1:1">
      <c r="A1710" s="15"/>
    </row>
    <row r="1711" spans="1:1">
      <c r="A1711" s="15"/>
    </row>
    <row r="1712" spans="1:1">
      <c r="A1712" s="15"/>
    </row>
    <row r="1713" spans="1:1">
      <c r="A1713" s="15"/>
    </row>
    <row r="1714" spans="1:1">
      <c r="A1714" s="15"/>
    </row>
    <row r="1715" spans="1:1">
      <c r="A1715" s="15"/>
    </row>
    <row r="1716" spans="1:1">
      <c r="A1716" s="15"/>
    </row>
    <row r="1717" spans="1:1">
      <c r="A1717" s="15"/>
    </row>
    <row r="1718" spans="1:1">
      <c r="A1718" s="15"/>
    </row>
    <row r="1719" spans="1:1">
      <c r="A1719" s="15"/>
    </row>
    <row r="1720" spans="1:1">
      <c r="A1720" s="15"/>
    </row>
    <row r="1721" spans="1:1">
      <c r="A1721" s="15"/>
    </row>
    <row r="1722" spans="1:1">
      <c r="A1722" s="15"/>
    </row>
    <row r="1723" spans="1:1">
      <c r="A1723" s="15"/>
    </row>
    <row r="1724" spans="1:1">
      <c r="A1724" s="15"/>
    </row>
    <row r="1725" spans="1:1">
      <c r="A1725" s="15"/>
    </row>
    <row r="1726" spans="1:1">
      <c r="A1726" s="15"/>
    </row>
    <row r="1727" spans="1:1">
      <c r="A1727" s="15"/>
    </row>
    <row r="1728" spans="1:1">
      <c r="A1728" s="15"/>
    </row>
    <row r="1729" spans="1:1">
      <c r="A1729" s="15"/>
    </row>
    <row r="1730" spans="1:1">
      <c r="A1730" s="15"/>
    </row>
    <row r="1731" spans="1:1">
      <c r="A1731" s="15"/>
    </row>
    <row r="1732" spans="1:1">
      <c r="A1732" s="15"/>
    </row>
    <row r="1733" spans="1:1">
      <c r="A1733" s="15"/>
    </row>
    <row r="1734" spans="1:1">
      <c r="A1734" s="15"/>
    </row>
    <row r="1735" spans="1:1">
      <c r="A1735" s="15"/>
    </row>
    <row r="1736" spans="1:1">
      <c r="A1736" s="15"/>
    </row>
    <row r="1737" spans="1:1">
      <c r="A1737" s="15"/>
    </row>
    <row r="1738" spans="1:1">
      <c r="A1738" s="15"/>
    </row>
    <row r="1739" spans="1:1">
      <c r="A1739" s="15"/>
    </row>
    <row r="1740" spans="1:1">
      <c r="A1740" s="15"/>
    </row>
    <row r="1741" spans="1:1">
      <c r="A1741" s="15"/>
    </row>
    <row r="1742" spans="1:1">
      <c r="A1742" s="15"/>
    </row>
    <row r="1743" spans="1:1">
      <c r="A1743" s="15"/>
    </row>
    <row r="1744" spans="1:1">
      <c r="A1744" s="15"/>
    </row>
    <row r="1745" spans="1:1">
      <c r="A1745" s="15"/>
    </row>
    <row r="1746" spans="1:1">
      <c r="A1746" s="15"/>
    </row>
    <row r="1747" spans="1:1">
      <c r="A1747" s="15"/>
    </row>
    <row r="1748" spans="1:1">
      <c r="A1748" s="15"/>
    </row>
    <row r="1749" spans="1:1">
      <c r="A1749" s="15"/>
    </row>
    <row r="1750" spans="1:1">
      <c r="A1750" s="15"/>
    </row>
    <row r="1751" spans="1:1">
      <c r="A1751" s="15"/>
    </row>
    <row r="1752" spans="1:1">
      <c r="A1752" s="15"/>
    </row>
    <row r="1753" spans="1:1">
      <c r="A1753" s="15"/>
    </row>
    <row r="1754" spans="1:1">
      <c r="A1754" s="15"/>
    </row>
    <row r="1755" spans="1:1">
      <c r="A1755" s="15"/>
    </row>
    <row r="1756" spans="1:1">
      <c r="A1756" s="15"/>
    </row>
    <row r="1757" spans="1:1">
      <c r="A1757" s="15"/>
    </row>
    <row r="1758" spans="1:1">
      <c r="A1758" s="15"/>
    </row>
    <row r="1759" spans="1:1">
      <c r="A1759" s="15"/>
    </row>
    <row r="1760" spans="1:1">
      <c r="A1760" s="15"/>
    </row>
    <row r="1761" spans="1:1">
      <c r="A1761" s="15"/>
    </row>
    <row r="1762" spans="1:1">
      <c r="A1762" s="15"/>
    </row>
    <row r="1763" spans="1:1">
      <c r="A1763" s="15"/>
    </row>
    <row r="1764" spans="1:1">
      <c r="A1764" s="15"/>
    </row>
    <row r="1765" spans="1:1">
      <c r="A1765" s="15"/>
    </row>
    <row r="1766" spans="1:1">
      <c r="A1766" s="15"/>
    </row>
    <row r="1767" spans="1:1">
      <c r="A1767" s="15"/>
    </row>
    <row r="1768" spans="1:1">
      <c r="A1768" s="15"/>
    </row>
    <row r="1769" spans="1:1">
      <c r="A1769" s="15"/>
    </row>
    <row r="1770" spans="1:1">
      <c r="A1770" s="15"/>
    </row>
    <row r="1771" spans="1:1">
      <c r="A1771" s="15"/>
    </row>
    <row r="1772" spans="1:1">
      <c r="A1772" s="15"/>
    </row>
    <row r="1773" spans="1:1">
      <c r="A1773" s="15"/>
    </row>
    <row r="1774" spans="1:1">
      <c r="A1774" s="15"/>
    </row>
    <row r="1775" spans="1:1">
      <c r="A1775" s="15"/>
    </row>
    <row r="1776" spans="1:1">
      <c r="A1776" s="15"/>
    </row>
    <row r="1777" spans="1:1">
      <c r="A1777" s="15"/>
    </row>
    <row r="1778" spans="1:1">
      <c r="A1778" s="15"/>
    </row>
    <row r="1779" spans="1:1">
      <c r="A1779" s="15"/>
    </row>
    <row r="1780" spans="1:1">
      <c r="A1780" s="15"/>
    </row>
    <row r="1781" spans="1:1">
      <c r="A1781" s="15"/>
    </row>
    <row r="1782" spans="1:1">
      <c r="A1782" s="15"/>
    </row>
    <row r="1783" spans="1:1">
      <c r="A1783" s="15"/>
    </row>
    <row r="1784" spans="1:1">
      <c r="A1784" s="15"/>
    </row>
    <row r="1785" spans="1:1">
      <c r="A1785" s="15"/>
    </row>
    <row r="1786" spans="1:1">
      <c r="A1786" s="15"/>
    </row>
    <row r="1787" spans="1:1">
      <c r="A1787" s="15"/>
    </row>
    <row r="1788" spans="1:1">
      <c r="A1788" s="15"/>
    </row>
    <row r="1789" spans="1:1">
      <c r="A1789" s="15"/>
    </row>
    <row r="1790" spans="1:1">
      <c r="A1790" s="15"/>
    </row>
    <row r="1791" spans="1:1">
      <c r="A1791" s="15"/>
    </row>
    <row r="1792" spans="1:1">
      <c r="A1792" s="15"/>
    </row>
    <row r="1793" spans="1:1">
      <c r="A1793" s="15"/>
    </row>
    <row r="1794" spans="1:1">
      <c r="A1794" s="15"/>
    </row>
    <row r="1795" spans="1:1">
      <c r="A1795" s="15"/>
    </row>
    <row r="1796" spans="1:1">
      <c r="A1796" s="15"/>
    </row>
    <row r="1797" spans="1:1">
      <c r="A1797" s="15"/>
    </row>
    <row r="1798" spans="1:1">
      <c r="A1798" s="15"/>
    </row>
    <row r="1799" spans="1:1">
      <c r="A1799" s="15"/>
    </row>
    <row r="1800" spans="1:1">
      <c r="A1800" s="15"/>
    </row>
    <row r="1801" spans="1:1">
      <c r="A1801" s="15"/>
    </row>
    <row r="1802" spans="1:1">
      <c r="A1802" s="15"/>
    </row>
    <row r="1803" spans="1:1">
      <c r="A1803" s="15"/>
    </row>
    <row r="1804" spans="1:1">
      <c r="A1804" s="15"/>
    </row>
    <row r="1805" spans="1:1">
      <c r="A1805" s="15"/>
    </row>
    <row r="1806" spans="1:1">
      <c r="A1806" s="15"/>
    </row>
    <row r="1807" spans="1:1">
      <c r="A1807" s="15"/>
    </row>
    <row r="1808" spans="1:1">
      <c r="A1808" s="15"/>
    </row>
    <row r="1809" spans="1:1">
      <c r="A1809" s="15"/>
    </row>
    <row r="1810" spans="1:1">
      <c r="A1810" s="15"/>
    </row>
    <row r="1811" spans="1:1">
      <c r="A1811" s="15"/>
    </row>
    <row r="1812" spans="1:1">
      <c r="A1812" s="15"/>
    </row>
    <row r="1813" spans="1:1">
      <c r="A1813" s="15"/>
    </row>
    <row r="1814" spans="1:1">
      <c r="A1814" s="15"/>
    </row>
    <row r="1815" spans="1:1">
      <c r="A1815" s="15"/>
    </row>
    <row r="1816" spans="1:1">
      <c r="A1816" s="15"/>
    </row>
    <row r="1817" spans="1:1">
      <c r="A1817" s="15"/>
    </row>
    <row r="1818" spans="1:1">
      <c r="A1818" s="15"/>
    </row>
    <row r="1819" spans="1:1">
      <c r="A1819" s="15"/>
    </row>
    <row r="1820" spans="1:1">
      <c r="A1820" s="15"/>
    </row>
    <row r="1821" spans="1:1">
      <c r="A1821" s="15"/>
    </row>
    <row r="1822" spans="1:1">
      <c r="A1822" s="15"/>
    </row>
    <row r="1823" spans="1:1">
      <c r="A1823" s="15"/>
    </row>
    <row r="1824" spans="1:1">
      <c r="A1824" s="15"/>
    </row>
    <row r="1825" spans="1:1">
      <c r="A1825" s="15"/>
    </row>
    <row r="1826" spans="1:1">
      <c r="A1826" s="15"/>
    </row>
    <row r="1827" spans="1:1">
      <c r="A1827" s="15"/>
    </row>
    <row r="1828" spans="1:1">
      <c r="A1828" s="15"/>
    </row>
    <row r="1829" spans="1:1">
      <c r="A1829" s="15"/>
    </row>
    <row r="1830" spans="1:1">
      <c r="A1830" s="15"/>
    </row>
    <row r="1831" spans="1:1">
      <c r="A1831" s="15"/>
    </row>
    <row r="1832" spans="1:1">
      <c r="A1832" s="15"/>
    </row>
    <row r="1833" spans="1:1">
      <c r="A1833" s="15"/>
    </row>
    <row r="1834" spans="1:1">
      <c r="A1834" s="15"/>
    </row>
    <row r="1835" spans="1:1">
      <c r="A1835" s="15"/>
    </row>
    <row r="1836" spans="1:1">
      <c r="A1836" s="15"/>
    </row>
    <row r="1837" spans="1:1">
      <c r="A1837" s="15"/>
    </row>
    <row r="1838" spans="1:1">
      <c r="A1838" s="15"/>
    </row>
    <row r="1839" spans="1:1">
      <c r="A1839" s="15"/>
    </row>
    <row r="1840" spans="1:1">
      <c r="A1840" s="15"/>
    </row>
    <row r="1841" spans="1:1">
      <c r="A1841" s="15"/>
    </row>
    <row r="1842" spans="1:1">
      <c r="A1842" s="15"/>
    </row>
    <row r="1843" spans="1:1">
      <c r="A1843" s="15"/>
    </row>
    <row r="1844" spans="1:1">
      <c r="A1844" s="15"/>
    </row>
    <row r="1845" spans="1:1">
      <c r="A1845" s="15"/>
    </row>
    <row r="1846" spans="1:1">
      <c r="A1846" s="15"/>
    </row>
    <row r="1847" spans="1:1">
      <c r="A1847" s="15"/>
    </row>
    <row r="1848" spans="1:1">
      <c r="A1848" s="15"/>
    </row>
    <row r="1849" spans="1:1">
      <c r="A1849" s="15"/>
    </row>
    <row r="1850" spans="1:1">
      <c r="A1850" s="15"/>
    </row>
    <row r="1851" spans="1:1">
      <c r="A1851" s="15"/>
    </row>
    <row r="1852" spans="1:1">
      <c r="A1852" s="15"/>
    </row>
    <row r="1853" spans="1:1">
      <c r="A1853" s="15"/>
    </row>
    <row r="1854" spans="1:1">
      <c r="A1854" s="15"/>
    </row>
    <row r="1855" spans="1:1">
      <c r="A1855" s="15"/>
    </row>
    <row r="1856" spans="1:1">
      <c r="A1856" s="15"/>
    </row>
    <row r="1857" spans="1:1">
      <c r="A1857" s="15"/>
    </row>
    <row r="1858" spans="1:1">
      <c r="A1858" s="15"/>
    </row>
    <row r="1859" spans="1:1">
      <c r="A1859" s="15"/>
    </row>
    <row r="1860" spans="1:1">
      <c r="A1860" s="15"/>
    </row>
    <row r="1861" spans="1:1">
      <c r="A1861" s="15"/>
    </row>
    <row r="1862" spans="1:1">
      <c r="A1862" s="15"/>
    </row>
    <row r="1863" spans="1:1">
      <c r="A1863" s="15"/>
    </row>
    <row r="1864" spans="1:1">
      <c r="A1864" s="15"/>
    </row>
    <row r="1865" spans="1:1">
      <c r="A1865" s="15"/>
    </row>
    <row r="1866" spans="1:1">
      <c r="A1866" s="15"/>
    </row>
    <row r="1867" spans="1:1">
      <c r="A1867" s="15"/>
    </row>
    <row r="1868" spans="1:1">
      <c r="A1868" s="15"/>
    </row>
    <row r="1869" spans="1:1">
      <c r="A1869" s="15"/>
    </row>
    <row r="1870" spans="1:1">
      <c r="A1870" s="15"/>
    </row>
    <row r="1871" spans="1:1">
      <c r="A1871" s="15"/>
    </row>
    <row r="1872" spans="1:1">
      <c r="A1872" s="15"/>
    </row>
    <row r="1873" spans="1:1">
      <c r="A1873" s="15"/>
    </row>
    <row r="1874" spans="1:1">
      <c r="A1874" s="15"/>
    </row>
    <row r="1875" spans="1:1">
      <c r="A1875" s="15"/>
    </row>
    <row r="1876" spans="1:1">
      <c r="A1876" s="15"/>
    </row>
    <row r="1877" spans="1:1">
      <c r="A1877" s="15"/>
    </row>
    <row r="1878" spans="1:1">
      <c r="A1878" s="15"/>
    </row>
    <row r="1879" spans="1:1">
      <c r="A1879" s="15"/>
    </row>
    <row r="1880" spans="1:1">
      <c r="A1880" s="15"/>
    </row>
    <row r="1881" spans="1:1">
      <c r="A1881" s="15"/>
    </row>
    <row r="1882" spans="1:1">
      <c r="A1882" s="15"/>
    </row>
    <row r="1883" spans="1:1">
      <c r="A1883" s="15"/>
    </row>
    <row r="1884" spans="1:1">
      <c r="A1884" s="15"/>
    </row>
    <row r="1885" spans="1:1">
      <c r="A1885" s="15"/>
    </row>
    <row r="1886" spans="1:1">
      <c r="A1886" s="15"/>
    </row>
    <row r="1887" spans="1:1">
      <c r="A1887" s="15"/>
    </row>
    <row r="1888" spans="1:1">
      <c r="A1888" s="15"/>
    </row>
    <row r="1889" spans="1:1">
      <c r="A1889" s="15"/>
    </row>
    <row r="1890" spans="1:1">
      <c r="A1890" s="15"/>
    </row>
    <row r="1891" spans="1:1">
      <c r="A1891" s="15"/>
    </row>
    <row r="1892" spans="1:1">
      <c r="A1892" s="15"/>
    </row>
    <row r="1893" spans="1:1">
      <c r="A1893" s="15"/>
    </row>
    <row r="1894" spans="1:1">
      <c r="A1894" s="15"/>
    </row>
    <row r="1895" spans="1:1">
      <c r="A1895" s="15"/>
    </row>
    <row r="1896" spans="1:1">
      <c r="A1896" s="15"/>
    </row>
    <row r="1897" spans="1:1">
      <c r="A1897" s="15"/>
    </row>
    <row r="1898" spans="1:1">
      <c r="A1898" s="15"/>
    </row>
    <row r="1899" spans="1:1">
      <c r="A1899" s="15"/>
    </row>
    <row r="1900" spans="1:1">
      <c r="A1900" s="15"/>
    </row>
    <row r="1901" spans="1:1">
      <c r="A1901" s="15"/>
    </row>
    <row r="1902" spans="1:1">
      <c r="A1902" s="15"/>
    </row>
    <row r="1903" spans="1:1">
      <c r="A1903" s="15"/>
    </row>
    <row r="1904" spans="1:1">
      <c r="A1904" s="15"/>
    </row>
    <row r="1905" spans="1:1">
      <c r="A1905" s="15"/>
    </row>
    <row r="1906" spans="1:1">
      <c r="A1906" s="15"/>
    </row>
    <row r="1907" spans="1:1">
      <c r="A1907" s="15"/>
    </row>
    <row r="1908" spans="1:1">
      <c r="A1908" s="15"/>
    </row>
    <row r="1909" spans="1:1">
      <c r="A1909" s="15"/>
    </row>
    <row r="1910" spans="1:1">
      <c r="A1910" s="15"/>
    </row>
    <row r="1911" spans="1:1">
      <c r="A1911" s="15"/>
    </row>
    <row r="1912" spans="1:1">
      <c r="A1912" s="15"/>
    </row>
    <row r="1913" spans="1:1">
      <c r="A1913" s="15"/>
    </row>
    <row r="1914" spans="1:1">
      <c r="A1914" s="15"/>
    </row>
    <row r="1915" spans="1:1">
      <c r="A1915" s="15"/>
    </row>
    <row r="1916" spans="1:1">
      <c r="A1916" s="15"/>
    </row>
    <row r="1917" spans="1:1">
      <c r="A1917" s="15"/>
    </row>
    <row r="1918" spans="1:1">
      <c r="A1918" s="15"/>
    </row>
    <row r="1919" spans="1:1">
      <c r="A1919" s="15"/>
    </row>
    <row r="1920" spans="1:1">
      <c r="A1920" s="15"/>
    </row>
    <row r="1921" spans="1:1">
      <c r="A1921" s="15"/>
    </row>
    <row r="1922" spans="1:1">
      <c r="A1922" s="15"/>
    </row>
    <row r="1923" spans="1:1">
      <c r="A1923" s="15"/>
    </row>
    <row r="1924" spans="1:1">
      <c r="A1924" s="15"/>
    </row>
    <row r="1925" spans="1:1">
      <c r="A1925" s="15"/>
    </row>
    <row r="1926" spans="1:1">
      <c r="A1926" s="15"/>
    </row>
    <row r="1927" spans="1:1">
      <c r="A1927" s="15"/>
    </row>
    <row r="1928" spans="1:1">
      <c r="A1928" s="15"/>
    </row>
    <row r="1929" spans="1:1">
      <c r="A1929" s="15"/>
    </row>
    <row r="1930" spans="1:1">
      <c r="A1930" s="15"/>
    </row>
    <row r="1931" spans="1:1">
      <c r="A1931" s="15"/>
    </row>
    <row r="1932" spans="1:1">
      <c r="A1932" s="15"/>
    </row>
    <row r="1933" spans="1:1">
      <c r="A1933" s="15"/>
    </row>
    <row r="1934" spans="1:1">
      <c r="A1934" s="15"/>
    </row>
    <row r="1935" spans="1:1">
      <c r="A1935" s="15"/>
    </row>
    <row r="1936" spans="1:1">
      <c r="A1936" s="15"/>
    </row>
    <row r="1937" spans="1:1">
      <c r="A1937" s="15"/>
    </row>
    <row r="1938" spans="1:1">
      <c r="A1938" s="15"/>
    </row>
    <row r="1939" spans="1:1">
      <c r="A1939" s="15"/>
    </row>
    <row r="1940" spans="1:1">
      <c r="A1940" s="15"/>
    </row>
    <row r="1941" spans="1:1">
      <c r="A1941" s="15"/>
    </row>
    <row r="1942" spans="1:1">
      <c r="A1942" s="15"/>
    </row>
    <row r="1943" spans="1:1">
      <c r="A1943" s="15"/>
    </row>
    <row r="1944" spans="1:1">
      <c r="A1944" s="15"/>
    </row>
    <row r="1945" spans="1:1">
      <c r="A1945" s="15"/>
    </row>
    <row r="1946" spans="1:1">
      <c r="A1946" s="15"/>
    </row>
    <row r="1947" spans="1:1">
      <c r="A1947" s="15"/>
    </row>
    <row r="1948" spans="1:1">
      <c r="A1948" s="15"/>
    </row>
    <row r="1949" spans="1:1">
      <c r="A1949" s="15"/>
    </row>
    <row r="1950" spans="1:1">
      <c r="A1950" s="15"/>
    </row>
    <row r="1951" spans="1:1">
      <c r="A1951" s="15"/>
    </row>
    <row r="1952" spans="1:1">
      <c r="A1952" s="15"/>
    </row>
    <row r="1953" spans="1:1">
      <c r="A1953" s="15"/>
    </row>
    <row r="1954" spans="1:1">
      <c r="A1954" s="15"/>
    </row>
    <row r="1955" spans="1:1">
      <c r="A1955" s="15"/>
    </row>
    <row r="1956" spans="1:1">
      <c r="A1956" s="15"/>
    </row>
    <row r="1957" spans="1:1">
      <c r="A1957" s="15"/>
    </row>
    <row r="1958" spans="1:1">
      <c r="A1958" s="15"/>
    </row>
    <row r="1959" spans="1:1">
      <c r="A1959" s="15"/>
    </row>
    <row r="1960" spans="1:1">
      <c r="A1960" s="15"/>
    </row>
    <row r="1961" spans="1:1">
      <c r="A1961" s="15"/>
    </row>
    <row r="1962" spans="1:1">
      <c r="A1962" s="15"/>
    </row>
    <row r="1963" spans="1:1">
      <c r="A1963" s="15"/>
    </row>
    <row r="1964" spans="1:1">
      <c r="A1964" s="15"/>
    </row>
    <row r="1965" spans="1:1">
      <c r="A1965" s="15"/>
    </row>
    <row r="1966" spans="1:1">
      <c r="A1966" s="15"/>
    </row>
    <row r="1967" spans="1:1">
      <c r="A1967" s="15"/>
    </row>
    <row r="1968" spans="1:1">
      <c r="A1968" s="15"/>
    </row>
    <row r="1969" spans="1:1">
      <c r="A1969" s="15"/>
    </row>
    <row r="1970" spans="1:1">
      <c r="A1970" s="15"/>
    </row>
    <row r="1971" spans="1:1">
      <c r="A1971" s="15"/>
    </row>
    <row r="1972" spans="1:1">
      <c r="A1972" s="15"/>
    </row>
    <row r="1973" spans="1:1">
      <c r="A1973" s="15"/>
    </row>
    <row r="1974" spans="1:1">
      <c r="A1974" s="15"/>
    </row>
    <row r="1975" spans="1:1">
      <c r="A1975" s="15"/>
    </row>
    <row r="1976" spans="1:1">
      <c r="A1976" s="15"/>
    </row>
    <row r="1977" spans="1:1">
      <c r="A1977" s="15"/>
    </row>
    <row r="1978" spans="1:1">
      <c r="A1978" s="15"/>
    </row>
    <row r="1979" spans="1:1">
      <c r="A1979" s="15"/>
    </row>
    <row r="1980" spans="1:1">
      <c r="A1980" s="15"/>
    </row>
    <row r="1981" spans="1:1">
      <c r="A1981" s="15"/>
    </row>
    <row r="1982" spans="1:1">
      <c r="A1982" s="15"/>
    </row>
    <row r="1983" spans="1:1">
      <c r="A1983" s="15"/>
    </row>
    <row r="1984" spans="1:1">
      <c r="A1984" s="15"/>
    </row>
    <row r="1985" spans="1:1">
      <c r="A1985" s="15"/>
    </row>
    <row r="1986" spans="1:1">
      <c r="A1986" s="15"/>
    </row>
    <row r="1987" spans="1:1">
      <c r="A1987" s="15"/>
    </row>
    <row r="1988" spans="1:1">
      <c r="A1988" s="15"/>
    </row>
    <row r="1989" spans="1:1">
      <c r="A1989" s="15"/>
    </row>
    <row r="1990" spans="1:1">
      <c r="A1990" s="15"/>
    </row>
    <row r="1991" spans="1:1">
      <c r="A1991" s="15"/>
    </row>
    <row r="1992" spans="1:1">
      <c r="A1992" s="15"/>
    </row>
    <row r="1993" spans="1:1">
      <c r="A1993" s="15"/>
    </row>
    <row r="1994" spans="1:1">
      <c r="A1994" s="15"/>
    </row>
    <row r="1995" spans="1:1">
      <c r="A1995" s="15"/>
    </row>
    <row r="1996" spans="1:1">
      <c r="A1996" s="15"/>
    </row>
    <row r="1997" spans="1:1">
      <c r="A1997" s="15"/>
    </row>
    <row r="1998" spans="1:1">
      <c r="A1998" s="15"/>
    </row>
    <row r="1999" spans="1:1">
      <c r="A1999" s="15"/>
    </row>
    <row r="2000" spans="1:1">
      <c r="A2000" s="15"/>
    </row>
    <row r="2001" spans="1:1">
      <c r="A2001" s="15"/>
    </row>
    <row r="2002" spans="1:1">
      <c r="A2002" s="15"/>
    </row>
    <row r="2003" spans="1:1">
      <c r="A2003" s="15"/>
    </row>
    <row r="2004" spans="1:1">
      <c r="A2004" s="15"/>
    </row>
    <row r="2005" spans="1:1">
      <c r="A2005" s="15"/>
    </row>
    <row r="2006" spans="1:1">
      <c r="A2006" s="15"/>
    </row>
    <row r="2007" spans="1:1">
      <c r="A2007" s="15"/>
    </row>
    <row r="2008" spans="1:1">
      <c r="A2008" s="15"/>
    </row>
    <row r="2009" spans="1:1">
      <c r="A2009" s="15"/>
    </row>
    <row r="2010" spans="1:1">
      <c r="A2010" s="15"/>
    </row>
    <row r="2011" spans="1:1">
      <c r="A2011" s="15"/>
    </row>
    <row r="2012" spans="1:1">
      <c r="A2012" s="15"/>
    </row>
    <row r="2013" spans="1:1">
      <c r="A2013" s="15"/>
    </row>
    <row r="2014" spans="1:1">
      <c r="A2014" s="15"/>
    </row>
    <row r="2015" spans="1:1">
      <c r="A2015" s="15"/>
    </row>
    <row r="2016" spans="1:1">
      <c r="A2016" s="15"/>
    </row>
    <row r="2017" spans="1:1">
      <c r="A2017" s="15"/>
    </row>
    <row r="2018" spans="1:1">
      <c r="A2018" s="15"/>
    </row>
    <row r="2019" spans="1:1">
      <c r="A2019" s="15"/>
    </row>
    <row r="2020" spans="1:1">
      <c r="A2020" s="15"/>
    </row>
    <row r="2021" spans="1:1">
      <c r="A2021" s="15"/>
    </row>
    <row r="2022" spans="1:1">
      <c r="A2022" s="15"/>
    </row>
    <row r="2023" spans="1:1">
      <c r="A2023" s="15"/>
    </row>
    <row r="2024" spans="1:1">
      <c r="A2024" s="15"/>
    </row>
    <row r="2025" spans="1:1">
      <c r="A2025" s="15"/>
    </row>
    <row r="2026" spans="1:1">
      <c r="A2026" s="15"/>
    </row>
    <row r="2027" spans="1:1">
      <c r="A2027" s="15"/>
    </row>
    <row r="2028" spans="1:1">
      <c r="A2028" s="15"/>
    </row>
    <row r="2029" spans="1:1">
      <c r="A2029" s="15"/>
    </row>
    <row r="2030" spans="1:1">
      <c r="A2030" s="15"/>
    </row>
    <row r="2031" spans="1:1">
      <c r="A2031" s="15"/>
    </row>
    <row r="2032" spans="1:1">
      <c r="A2032" s="15"/>
    </row>
    <row r="2033" spans="1:1">
      <c r="A2033" s="15"/>
    </row>
    <row r="2034" spans="1:1">
      <c r="A2034" s="15"/>
    </row>
    <row r="2035" spans="1:1">
      <c r="A2035" s="15"/>
    </row>
    <row r="2036" spans="1:1">
      <c r="A2036" s="15"/>
    </row>
    <row r="2037" spans="1:1">
      <c r="A2037" s="15"/>
    </row>
    <row r="2038" spans="1:1">
      <c r="A2038" s="15"/>
    </row>
    <row r="2039" spans="1:1">
      <c r="A2039" s="15"/>
    </row>
    <row r="2040" spans="1:1">
      <c r="A2040" s="15"/>
    </row>
    <row r="2041" spans="1:1">
      <c r="A2041" s="15"/>
    </row>
    <row r="2042" spans="1:1">
      <c r="A2042" s="15"/>
    </row>
    <row r="2043" spans="1:1">
      <c r="A2043" s="15"/>
    </row>
    <row r="2044" spans="1:1">
      <c r="A2044" s="15"/>
    </row>
    <row r="2045" spans="1:1">
      <c r="A2045" s="15"/>
    </row>
    <row r="2046" spans="1:1">
      <c r="A2046" s="15"/>
    </row>
    <row r="2047" spans="1:1">
      <c r="A2047" s="15"/>
    </row>
    <row r="2048" spans="1:1">
      <c r="A2048" s="15"/>
    </row>
    <row r="2049" spans="1:1">
      <c r="A2049" s="15"/>
    </row>
    <row r="2050" spans="1:1">
      <c r="A2050" s="15"/>
    </row>
    <row r="2051" spans="1:1">
      <c r="A2051" s="15"/>
    </row>
    <row r="2052" spans="1:1">
      <c r="A2052" s="15"/>
    </row>
    <row r="2053" spans="1:1">
      <c r="A2053" s="15"/>
    </row>
    <row r="2054" spans="1:1">
      <c r="A2054" s="15"/>
    </row>
    <row r="2055" spans="1:1">
      <c r="A2055" s="15"/>
    </row>
    <row r="2056" spans="1:1">
      <c r="A2056" s="15"/>
    </row>
    <row r="2057" spans="1:1">
      <c r="A2057" s="15"/>
    </row>
    <row r="2058" spans="1:1">
      <c r="A2058" s="15"/>
    </row>
    <row r="2059" spans="1:1">
      <c r="A2059" s="15"/>
    </row>
    <row r="2060" spans="1:1">
      <c r="A2060" s="15"/>
    </row>
    <row r="2061" spans="1:1">
      <c r="A2061" s="15"/>
    </row>
    <row r="2062" spans="1:1">
      <c r="A2062" s="15"/>
    </row>
    <row r="2063" spans="1:1">
      <c r="A2063" s="15"/>
    </row>
    <row r="2064" spans="1:1">
      <c r="A2064" s="15"/>
    </row>
    <row r="2065" spans="1:1">
      <c r="A2065" s="15"/>
    </row>
    <row r="2066" spans="1:1">
      <c r="A2066" s="15"/>
    </row>
    <row r="2067" spans="1:1">
      <c r="A2067" s="15"/>
    </row>
    <row r="2068" spans="1:1">
      <c r="A2068" s="15"/>
    </row>
    <row r="2069" spans="1:1">
      <c r="A2069" s="15"/>
    </row>
    <row r="2070" spans="1:1">
      <c r="A2070" s="15"/>
    </row>
    <row r="2071" spans="1:1">
      <c r="A2071" s="15"/>
    </row>
    <row r="2072" spans="1:1">
      <c r="A2072" s="15"/>
    </row>
    <row r="2073" spans="1:1">
      <c r="A2073" s="15"/>
    </row>
    <row r="2074" spans="1:1">
      <c r="A2074" s="15"/>
    </row>
    <row r="2075" spans="1:1">
      <c r="A2075" s="15"/>
    </row>
    <row r="2076" spans="1:1">
      <c r="A2076" s="15"/>
    </row>
    <row r="2077" spans="1:1">
      <c r="A2077" s="15"/>
    </row>
    <row r="2078" spans="1:1">
      <c r="A2078" s="15"/>
    </row>
    <row r="2079" spans="1:1">
      <c r="A2079" s="15"/>
    </row>
    <row r="2080" spans="1:1">
      <c r="A2080" s="15"/>
    </row>
    <row r="2081" spans="1:1">
      <c r="A2081" s="15"/>
    </row>
    <row r="2082" spans="1:1">
      <c r="A2082" s="15"/>
    </row>
    <row r="2083" spans="1:1">
      <c r="A2083" s="15"/>
    </row>
    <row r="2084" spans="1:1">
      <c r="A2084" s="15"/>
    </row>
    <row r="2085" spans="1:1">
      <c r="A2085" s="15"/>
    </row>
    <row r="2086" spans="1:1">
      <c r="A2086" s="15"/>
    </row>
    <row r="2087" spans="1:1">
      <c r="A2087" s="15"/>
    </row>
    <row r="2088" spans="1:1">
      <c r="A2088" s="15"/>
    </row>
    <row r="2089" spans="1:1">
      <c r="A2089" s="15"/>
    </row>
    <row r="2090" spans="1:1">
      <c r="A2090" s="15"/>
    </row>
    <row r="2091" spans="1:1">
      <c r="A2091" s="15"/>
    </row>
    <row r="2092" spans="1:1">
      <c r="A2092" s="15"/>
    </row>
    <row r="2093" spans="1:1">
      <c r="A2093" s="15"/>
    </row>
    <row r="2094" spans="1:1">
      <c r="A2094" s="15"/>
    </row>
    <row r="2095" spans="1:1">
      <c r="A2095" s="15"/>
    </row>
    <row r="2096" spans="1:1">
      <c r="A2096" s="15"/>
    </row>
    <row r="2097" spans="1:1">
      <c r="A2097" s="15"/>
    </row>
    <row r="2098" spans="1:1">
      <c r="A2098" s="15"/>
    </row>
    <row r="2099" spans="1:1">
      <c r="A2099" s="15"/>
    </row>
    <row r="2100" spans="1:1">
      <c r="A2100" s="15"/>
    </row>
    <row r="2101" spans="1:1">
      <c r="A2101" s="15"/>
    </row>
    <row r="2102" spans="1:1">
      <c r="A2102" s="15"/>
    </row>
    <row r="2103" spans="1:1">
      <c r="A2103" s="15"/>
    </row>
    <row r="2104" spans="1:1">
      <c r="A2104" s="15"/>
    </row>
    <row r="2105" spans="1:1">
      <c r="A2105" s="15"/>
    </row>
    <row r="2106" spans="1:1">
      <c r="A2106" s="15"/>
    </row>
    <row r="2107" spans="1:1">
      <c r="A2107" s="15"/>
    </row>
    <row r="2108" spans="1:1">
      <c r="A2108" s="15"/>
    </row>
    <row r="2109" spans="1:1">
      <c r="A2109" s="15"/>
    </row>
    <row r="2110" spans="1:1">
      <c r="A2110" s="15"/>
    </row>
    <row r="2111" spans="1:1">
      <c r="A2111" s="15"/>
    </row>
    <row r="2112" spans="1:1">
      <c r="A2112" s="15"/>
    </row>
    <row r="2113" spans="1:1">
      <c r="A2113" s="15"/>
    </row>
    <row r="2114" spans="1:1">
      <c r="A2114" s="15"/>
    </row>
    <row r="2115" spans="1:1">
      <c r="A2115" s="15"/>
    </row>
    <row r="2116" spans="1:1">
      <c r="A2116" s="15"/>
    </row>
    <row r="2117" spans="1:1">
      <c r="A2117" s="15"/>
    </row>
    <row r="2118" spans="1:1">
      <c r="A2118" s="15"/>
    </row>
    <row r="2119" spans="1:1">
      <c r="A2119" s="15"/>
    </row>
    <row r="2120" spans="1:1">
      <c r="A2120" s="15"/>
    </row>
    <row r="2121" spans="1:1">
      <c r="A2121" s="15"/>
    </row>
    <row r="2122" spans="1:1">
      <c r="A2122" s="15"/>
    </row>
    <row r="2123" spans="1:1">
      <c r="A2123" s="15"/>
    </row>
    <row r="2124" spans="1:1">
      <c r="A2124" s="15"/>
    </row>
    <row r="2125" spans="1:1">
      <c r="A2125" s="15"/>
    </row>
    <row r="2126" spans="1:1">
      <c r="A2126" s="15"/>
    </row>
    <row r="2127" spans="1:1">
      <c r="A2127" s="15"/>
    </row>
    <row r="2128" spans="1:1">
      <c r="A2128" s="15"/>
    </row>
    <row r="2129" spans="1:1">
      <c r="A2129" s="15"/>
    </row>
    <row r="2130" spans="1:1">
      <c r="A2130" s="15"/>
    </row>
    <row r="2131" spans="1:1">
      <c r="A2131" s="15"/>
    </row>
    <row r="2132" spans="1:1">
      <c r="A2132" s="15"/>
    </row>
    <row r="2133" spans="1:1">
      <c r="A2133" s="15"/>
    </row>
    <row r="2134" spans="1:1">
      <c r="A2134" s="15"/>
    </row>
    <row r="2135" spans="1:1">
      <c r="A2135" s="15"/>
    </row>
    <row r="2136" spans="1:1">
      <c r="A2136" s="15"/>
    </row>
    <row r="2137" spans="1:1">
      <c r="A2137" s="15"/>
    </row>
    <row r="2138" spans="1:1">
      <c r="A2138" s="15"/>
    </row>
    <row r="2139" spans="1:1">
      <c r="A2139" s="15"/>
    </row>
    <row r="2140" spans="1:1">
      <c r="A2140" s="15"/>
    </row>
    <row r="2141" spans="1:1">
      <c r="A2141" s="15"/>
    </row>
    <row r="2142" spans="1:1">
      <c r="A2142" s="15"/>
    </row>
    <row r="2143" spans="1:1">
      <c r="A2143" s="15"/>
    </row>
    <row r="2144" spans="1:1">
      <c r="A2144" s="15"/>
    </row>
    <row r="2145" spans="1:1">
      <c r="A2145" s="15"/>
    </row>
    <row r="2146" spans="1:1">
      <c r="A2146" s="15"/>
    </row>
    <row r="2147" spans="1:1">
      <c r="A2147" s="15"/>
    </row>
    <row r="2148" spans="1:1">
      <c r="A2148" s="15"/>
    </row>
    <row r="2149" spans="1:1">
      <c r="A2149" s="15"/>
    </row>
    <row r="2150" spans="1:1">
      <c r="A2150" s="15"/>
    </row>
    <row r="2151" spans="1:1">
      <c r="A2151" s="15"/>
    </row>
    <row r="2152" spans="1:1">
      <c r="A2152" s="15"/>
    </row>
    <row r="2153" spans="1:1">
      <c r="A2153" s="15"/>
    </row>
    <row r="2154" spans="1:1">
      <c r="A2154" s="15"/>
    </row>
    <row r="2155" spans="1:1">
      <c r="A2155" s="15"/>
    </row>
    <row r="2156" spans="1:1">
      <c r="A2156" s="15"/>
    </row>
    <row r="2157" spans="1:1">
      <c r="A2157" s="15"/>
    </row>
    <row r="2158" spans="1:1">
      <c r="A2158" s="15"/>
    </row>
    <row r="2159" spans="1:1">
      <c r="A2159" s="15"/>
    </row>
    <row r="2160" spans="1:1">
      <c r="A2160" s="15"/>
    </row>
    <row r="2161" spans="1:1">
      <c r="A2161" s="15"/>
    </row>
    <row r="2162" spans="1:1">
      <c r="A2162" s="15"/>
    </row>
    <row r="2163" spans="1:1">
      <c r="A2163" s="15"/>
    </row>
    <row r="2164" spans="1:1">
      <c r="A2164" s="15"/>
    </row>
    <row r="2165" spans="1:1">
      <c r="A2165" s="15"/>
    </row>
    <row r="2166" spans="1:1">
      <c r="A2166" s="15"/>
    </row>
    <row r="2167" spans="1:1">
      <c r="A2167" s="15"/>
    </row>
    <row r="2168" spans="1:1">
      <c r="A2168" s="15"/>
    </row>
    <row r="2169" spans="1:1">
      <c r="A2169" s="15"/>
    </row>
    <row r="2170" spans="1:1">
      <c r="A2170" s="15"/>
    </row>
    <row r="2171" spans="1:1">
      <c r="A2171" s="15"/>
    </row>
    <row r="2172" spans="1:1">
      <c r="A2172" s="15"/>
    </row>
    <row r="2173" spans="1:1">
      <c r="A2173" s="15"/>
    </row>
    <row r="2174" spans="1:1">
      <c r="A2174" s="15"/>
    </row>
    <row r="2175" spans="1:1">
      <c r="A2175" s="15"/>
    </row>
    <row r="2176" spans="1:1">
      <c r="A2176" s="15"/>
    </row>
    <row r="2177" spans="1:1">
      <c r="A2177" s="15"/>
    </row>
    <row r="2178" spans="1:1">
      <c r="A2178" s="15"/>
    </row>
    <row r="2179" spans="1:1">
      <c r="A2179" s="15"/>
    </row>
    <row r="2180" spans="1:1">
      <c r="A2180" s="15"/>
    </row>
    <row r="2181" spans="1:1">
      <c r="A2181" s="15"/>
    </row>
    <row r="2182" spans="1:1">
      <c r="A2182" s="15"/>
    </row>
    <row r="2183" spans="1:1">
      <c r="A2183" s="15"/>
    </row>
    <row r="2184" spans="1:1">
      <c r="A2184" s="15"/>
    </row>
    <row r="2185" spans="1:1">
      <c r="A2185" s="15"/>
    </row>
    <row r="2186" spans="1:1">
      <c r="A2186" s="15"/>
    </row>
    <row r="2187" spans="1:1">
      <c r="A2187" s="15"/>
    </row>
    <row r="2188" spans="1:1">
      <c r="A2188" s="15"/>
    </row>
    <row r="2189" spans="1:1">
      <c r="A2189" s="15"/>
    </row>
    <row r="2190" spans="1:1">
      <c r="A2190" s="15"/>
    </row>
    <row r="2191" spans="1:1">
      <c r="A2191" s="15"/>
    </row>
    <row r="2192" spans="1:1">
      <c r="A2192" s="15"/>
    </row>
    <row r="2193" spans="1:1">
      <c r="A2193" s="15"/>
    </row>
    <row r="2194" spans="1:1">
      <c r="A2194" s="15"/>
    </row>
    <row r="2195" spans="1:1">
      <c r="A2195" s="15"/>
    </row>
    <row r="2196" spans="1:1">
      <c r="A2196" s="15"/>
    </row>
    <row r="2197" spans="1:1">
      <c r="A2197" s="15"/>
    </row>
    <row r="2198" spans="1:1">
      <c r="A2198" s="15"/>
    </row>
    <row r="2199" spans="1:1">
      <c r="A2199" s="15"/>
    </row>
    <row r="2200" spans="1:1">
      <c r="A2200" s="15"/>
    </row>
    <row r="2201" spans="1:1">
      <c r="A2201" s="15"/>
    </row>
    <row r="2202" spans="1:1">
      <c r="A2202" s="15"/>
    </row>
    <row r="2203" spans="1:1">
      <c r="A2203" s="15"/>
    </row>
    <row r="2204" spans="1:1">
      <c r="A2204" s="15"/>
    </row>
    <row r="2205" spans="1:1">
      <c r="A2205" s="15"/>
    </row>
    <row r="2206" spans="1:1">
      <c r="A2206" s="15"/>
    </row>
    <row r="2207" spans="1:1">
      <c r="A2207" s="15"/>
    </row>
    <row r="2208" spans="1:1">
      <c r="A2208" s="15"/>
    </row>
    <row r="2209" spans="1:1">
      <c r="A2209" s="15"/>
    </row>
    <row r="2210" spans="1:1">
      <c r="A2210" s="15"/>
    </row>
    <row r="2211" spans="1:1">
      <c r="A2211" s="15"/>
    </row>
    <row r="2212" spans="1:1">
      <c r="A2212" s="15"/>
    </row>
    <row r="2213" spans="1:1">
      <c r="A2213" s="15"/>
    </row>
    <row r="2214" spans="1:1">
      <c r="A2214" s="15"/>
    </row>
    <row r="2215" spans="1:1">
      <c r="A2215" s="15"/>
    </row>
    <row r="2216" spans="1:1">
      <c r="A2216" s="15"/>
    </row>
    <row r="2217" spans="1:1">
      <c r="A2217" s="15"/>
    </row>
    <row r="2218" spans="1:1">
      <c r="A2218" s="15"/>
    </row>
    <row r="2219" spans="1:1">
      <c r="A2219" s="15"/>
    </row>
    <row r="2220" spans="1:1">
      <c r="A2220" s="15"/>
    </row>
    <row r="2221" spans="1:1">
      <c r="A2221" s="15"/>
    </row>
    <row r="2222" spans="1:1">
      <c r="A2222" s="15"/>
    </row>
    <row r="2223" spans="1:1">
      <c r="A2223" s="15"/>
    </row>
    <row r="2224" spans="1:1">
      <c r="A2224" s="15"/>
    </row>
    <row r="2225" spans="1:1">
      <c r="A2225" s="15"/>
    </row>
    <row r="2226" spans="1:1">
      <c r="A2226" s="15"/>
    </row>
    <row r="2227" spans="1:1">
      <c r="A2227" s="15"/>
    </row>
    <row r="2228" spans="1:1">
      <c r="A2228" s="15"/>
    </row>
    <row r="2229" spans="1:1">
      <c r="A2229" s="15"/>
    </row>
    <row r="2230" spans="1:1">
      <c r="A2230" s="15"/>
    </row>
    <row r="2231" spans="1:1">
      <c r="A2231" s="15"/>
    </row>
    <row r="2232" spans="1:1">
      <c r="A2232" s="15"/>
    </row>
    <row r="2233" spans="1:1">
      <c r="A2233" s="15"/>
    </row>
    <row r="2234" spans="1:1">
      <c r="A2234" s="15"/>
    </row>
    <row r="2235" spans="1:1">
      <c r="A2235" s="15"/>
    </row>
    <row r="2236" spans="1:1">
      <c r="A2236" s="15"/>
    </row>
    <row r="2237" spans="1:1">
      <c r="A2237" s="15"/>
    </row>
    <row r="2238" spans="1:1">
      <c r="A2238" s="15"/>
    </row>
    <row r="2239" spans="1:1">
      <c r="A2239" s="15"/>
    </row>
    <row r="2240" spans="1:1">
      <c r="A2240" s="15"/>
    </row>
    <row r="2241" spans="1:1">
      <c r="A2241" s="15"/>
    </row>
    <row r="2242" spans="1:1">
      <c r="A2242" s="15"/>
    </row>
    <row r="2243" spans="1:1">
      <c r="A2243" s="15"/>
    </row>
    <row r="2244" spans="1:1">
      <c r="A2244" s="15"/>
    </row>
    <row r="2245" spans="1:1">
      <c r="A2245" s="15"/>
    </row>
    <row r="2246" spans="1:1">
      <c r="A2246" s="15"/>
    </row>
    <row r="2247" spans="1:1">
      <c r="A2247" s="15"/>
    </row>
    <row r="2248" spans="1:1">
      <c r="A2248" s="15"/>
    </row>
    <row r="2249" spans="1:1">
      <c r="A2249" s="15"/>
    </row>
    <row r="2250" spans="1:1">
      <c r="A2250" s="15"/>
    </row>
    <row r="2251" spans="1:1">
      <c r="A2251" s="15"/>
    </row>
    <row r="2252" spans="1:1">
      <c r="A2252" s="15"/>
    </row>
    <row r="2253" spans="1:1">
      <c r="A2253" s="15"/>
    </row>
    <row r="2254" spans="1:1">
      <c r="A2254" s="15"/>
    </row>
    <row r="2255" spans="1:1">
      <c r="A2255" s="15"/>
    </row>
    <row r="2256" spans="1:1">
      <c r="A2256" s="15"/>
    </row>
    <row r="2257" spans="1:1">
      <c r="A2257" s="15"/>
    </row>
    <row r="2258" spans="1:1">
      <c r="A2258" s="15"/>
    </row>
    <row r="2259" spans="1:1">
      <c r="A2259" s="15"/>
    </row>
    <row r="2260" spans="1:1">
      <c r="A2260" s="15"/>
    </row>
    <row r="2261" spans="1:1">
      <c r="A2261" s="15"/>
    </row>
    <row r="2262" spans="1:1">
      <c r="A2262" s="15"/>
    </row>
    <row r="2263" spans="1:1">
      <c r="A2263" s="15"/>
    </row>
    <row r="2264" spans="1:1">
      <c r="A2264" s="15"/>
    </row>
    <row r="2265" spans="1:1">
      <c r="A2265" s="15"/>
    </row>
    <row r="2266" spans="1:1">
      <c r="A2266" s="15"/>
    </row>
    <row r="2267" spans="1:1">
      <c r="A2267" s="15"/>
    </row>
    <row r="2268" spans="1:1">
      <c r="A2268" s="15"/>
    </row>
    <row r="2269" spans="1:1">
      <c r="A2269" s="15"/>
    </row>
    <row r="2270" spans="1:1">
      <c r="A2270" s="15"/>
    </row>
    <row r="2271" spans="1:1">
      <c r="A2271" s="15"/>
    </row>
    <row r="2272" spans="1:1">
      <c r="A2272" s="15"/>
    </row>
    <row r="2273" spans="1:1">
      <c r="A2273" s="15"/>
    </row>
    <row r="2274" spans="1:1">
      <c r="A2274" s="15"/>
    </row>
    <row r="2275" spans="1:1">
      <c r="A2275" s="15"/>
    </row>
    <row r="2276" spans="1:1">
      <c r="A2276" s="15"/>
    </row>
    <row r="2277" spans="1:1">
      <c r="A2277" s="15"/>
    </row>
    <row r="2278" spans="1:1">
      <c r="A2278" s="15"/>
    </row>
    <row r="2279" spans="1:1">
      <c r="A2279" s="15"/>
    </row>
    <row r="2280" spans="1:1">
      <c r="A2280" s="15"/>
    </row>
    <row r="2281" spans="1:1">
      <c r="A2281" s="15"/>
    </row>
    <row r="2282" spans="1:1">
      <c r="A2282" s="15"/>
    </row>
    <row r="2283" spans="1:1">
      <c r="A2283" s="15"/>
    </row>
    <row r="2284" spans="1:1">
      <c r="A2284" s="15"/>
    </row>
    <row r="2285" spans="1:1">
      <c r="A2285" s="15"/>
    </row>
    <row r="2286" spans="1:1">
      <c r="A2286" s="15"/>
    </row>
    <row r="2287" spans="1:1">
      <c r="A2287" s="15"/>
    </row>
    <row r="2288" spans="1:1">
      <c r="A2288" s="15"/>
    </row>
    <row r="2289" spans="1:1">
      <c r="A2289" s="15"/>
    </row>
    <row r="2290" spans="1:1">
      <c r="A2290" s="15"/>
    </row>
    <row r="2291" spans="1:1">
      <c r="A2291" s="15"/>
    </row>
    <row r="2292" spans="1:1">
      <c r="A2292" s="15"/>
    </row>
    <row r="2293" spans="1:1">
      <c r="A2293" s="15"/>
    </row>
    <row r="2294" spans="1:1">
      <c r="A2294" s="15"/>
    </row>
    <row r="2295" spans="1:1">
      <c r="A2295" s="15"/>
    </row>
    <row r="2296" spans="1:1">
      <c r="A2296" s="15"/>
    </row>
    <row r="2297" spans="1:1">
      <c r="A2297" s="15"/>
    </row>
    <row r="2298" spans="1:1">
      <c r="A2298" s="15"/>
    </row>
    <row r="2299" spans="1:1">
      <c r="A2299" s="15"/>
    </row>
    <row r="2300" spans="1:1">
      <c r="A2300" s="15"/>
    </row>
    <row r="2301" spans="1:1">
      <c r="A2301" s="15"/>
    </row>
    <row r="2302" spans="1:1">
      <c r="A2302" s="15"/>
    </row>
    <row r="2303" spans="1:1">
      <c r="A2303" s="15"/>
    </row>
    <row r="2304" spans="1:1">
      <c r="A2304" s="15"/>
    </row>
    <row r="2305" spans="1:1">
      <c r="A2305" s="15"/>
    </row>
    <row r="2306" spans="1:1">
      <c r="A2306" s="15"/>
    </row>
    <row r="2307" spans="1:1">
      <c r="A2307" s="15"/>
    </row>
    <row r="2308" spans="1:1">
      <c r="A2308" s="15"/>
    </row>
    <row r="2309" spans="1:1">
      <c r="A2309" s="15"/>
    </row>
    <row r="2310" spans="1:1">
      <c r="A2310" s="15"/>
    </row>
    <row r="2311" spans="1:1">
      <c r="A2311" s="15"/>
    </row>
    <row r="2312" spans="1:1">
      <c r="A2312" s="15"/>
    </row>
    <row r="2313" spans="1:1">
      <c r="A2313" s="15"/>
    </row>
    <row r="2314" spans="1:1">
      <c r="A2314" s="15"/>
    </row>
    <row r="2315" spans="1:1">
      <c r="A2315" s="15"/>
    </row>
    <row r="2316" spans="1:1">
      <c r="A2316" s="15"/>
    </row>
    <row r="2317" spans="1:1">
      <c r="A2317" s="15"/>
    </row>
    <row r="2318" spans="1:1">
      <c r="A2318" s="15"/>
    </row>
    <row r="2319" spans="1:1">
      <c r="A2319" s="15"/>
    </row>
    <row r="2320" spans="1:1">
      <c r="A2320" s="15"/>
    </row>
    <row r="2321" spans="1:1">
      <c r="A2321" s="15"/>
    </row>
    <row r="2322" spans="1:1">
      <c r="A2322" s="15"/>
    </row>
    <row r="2323" spans="1:1">
      <c r="A2323" s="15"/>
    </row>
    <row r="2324" spans="1:1">
      <c r="A2324" s="15"/>
    </row>
    <row r="2325" spans="1:1">
      <c r="A2325" s="15"/>
    </row>
    <row r="2326" spans="1:1">
      <c r="A2326" s="15"/>
    </row>
    <row r="2327" spans="1:1">
      <c r="A2327" s="15"/>
    </row>
    <row r="2328" spans="1:1">
      <c r="A2328" s="15"/>
    </row>
    <row r="2329" spans="1:1">
      <c r="A2329" s="15"/>
    </row>
    <row r="2330" spans="1:1">
      <c r="A2330" s="15"/>
    </row>
    <row r="2331" spans="1:1">
      <c r="A2331" s="15"/>
    </row>
    <row r="2332" spans="1:1">
      <c r="A2332" s="15"/>
    </row>
    <row r="2333" spans="1:1">
      <c r="A2333" s="15"/>
    </row>
    <row r="2334" spans="1:1">
      <c r="A2334" s="15"/>
    </row>
    <row r="2335" spans="1:1">
      <c r="A2335" s="15"/>
    </row>
    <row r="2336" spans="1:1">
      <c r="A2336" s="15"/>
    </row>
    <row r="2337" spans="1:1">
      <c r="A2337" s="15"/>
    </row>
    <row r="2338" spans="1:1">
      <c r="A2338" s="15"/>
    </row>
    <row r="2339" spans="1:1">
      <c r="A2339" s="15"/>
    </row>
    <row r="2340" spans="1:1">
      <c r="A2340" s="15"/>
    </row>
    <row r="2341" spans="1:1">
      <c r="A2341" s="15"/>
    </row>
    <row r="2342" spans="1:1">
      <c r="A2342" s="15"/>
    </row>
    <row r="2343" spans="1:1">
      <c r="A2343" s="15"/>
    </row>
    <row r="2344" spans="1:1">
      <c r="A2344" s="15"/>
    </row>
    <row r="2345" spans="1:1">
      <c r="A2345" s="15"/>
    </row>
    <row r="2346" spans="1:1">
      <c r="A2346" s="15"/>
    </row>
    <row r="2347" spans="1:1">
      <c r="A2347" s="15"/>
    </row>
    <row r="2348" spans="1:1">
      <c r="A2348" s="15"/>
    </row>
    <row r="2349" spans="1:1">
      <c r="A2349" s="15"/>
    </row>
    <row r="2350" spans="1:1">
      <c r="A2350" s="15"/>
    </row>
    <row r="2351" spans="1:1">
      <c r="A2351" s="15"/>
    </row>
    <row r="2352" spans="1:1">
      <c r="A2352" s="15"/>
    </row>
    <row r="2353" spans="1:1">
      <c r="A2353" s="15"/>
    </row>
    <row r="2354" spans="1:1">
      <c r="A2354" s="15"/>
    </row>
    <row r="2355" spans="1:1">
      <c r="A2355" s="15"/>
    </row>
    <row r="2356" spans="1:1">
      <c r="A2356" s="15"/>
    </row>
    <row r="2357" spans="1:1">
      <c r="A2357" s="15"/>
    </row>
    <row r="2358" spans="1:1">
      <c r="A2358" s="15"/>
    </row>
    <row r="2359" spans="1:1">
      <c r="A2359" s="15"/>
    </row>
    <row r="2360" spans="1:1">
      <c r="A2360" s="15"/>
    </row>
    <row r="2361" spans="1:1">
      <c r="A2361" s="15"/>
    </row>
    <row r="2362" spans="1:1">
      <c r="A2362" s="15"/>
    </row>
    <row r="2363" spans="1:1">
      <c r="A2363" s="15"/>
    </row>
    <row r="2364" spans="1:1">
      <c r="A2364" s="15"/>
    </row>
    <row r="2365" spans="1:1">
      <c r="A2365" s="15"/>
    </row>
    <row r="2366" spans="1:1">
      <c r="A2366" s="15"/>
    </row>
    <row r="2367" spans="1:1">
      <c r="A2367" s="15"/>
    </row>
    <row r="2368" spans="1:1">
      <c r="A2368" s="15"/>
    </row>
    <row r="2369" spans="1:1">
      <c r="A2369" s="15"/>
    </row>
    <row r="2370" spans="1:1">
      <c r="A2370" s="15"/>
    </row>
    <row r="2371" spans="1:1">
      <c r="A2371" s="15"/>
    </row>
    <row r="2372" spans="1:1">
      <c r="A2372" s="15"/>
    </row>
    <row r="2373" spans="1:1">
      <c r="A2373" s="15"/>
    </row>
    <row r="2374" spans="1:1">
      <c r="A2374" s="15"/>
    </row>
    <row r="2375" spans="1:1">
      <c r="A2375" s="15"/>
    </row>
    <row r="2376" spans="1:1">
      <c r="A2376" s="15"/>
    </row>
    <row r="2377" spans="1:1">
      <c r="A2377" s="15"/>
    </row>
    <row r="2378" spans="1:1">
      <c r="A2378" s="15"/>
    </row>
    <row r="2379" spans="1:1">
      <c r="A2379" s="15"/>
    </row>
    <row r="2380" spans="1:1">
      <c r="A2380" s="15"/>
    </row>
    <row r="2381" spans="1:1">
      <c r="A2381" s="15"/>
    </row>
    <row r="2382" spans="1:1">
      <c r="A2382" s="15"/>
    </row>
    <row r="2383" spans="1:1">
      <c r="A2383" s="15"/>
    </row>
    <row r="2384" spans="1:1">
      <c r="A2384" s="15"/>
    </row>
    <row r="2385" spans="1:1">
      <c r="A2385" s="15"/>
    </row>
    <row r="2386" spans="1:1">
      <c r="A2386" s="15"/>
    </row>
    <row r="2387" spans="1:1">
      <c r="A2387" s="15"/>
    </row>
    <row r="2388" spans="1:1">
      <c r="A2388" s="15"/>
    </row>
    <row r="2389" spans="1:1">
      <c r="A2389" s="15"/>
    </row>
    <row r="2390" spans="1:1">
      <c r="A2390" s="15"/>
    </row>
    <row r="2391" spans="1:1">
      <c r="A2391" s="15"/>
    </row>
    <row r="2392" spans="1:1">
      <c r="A2392" s="15"/>
    </row>
    <row r="2393" spans="1:1">
      <c r="A2393" s="15"/>
    </row>
    <row r="2394" spans="1:1">
      <c r="A2394" s="15"/>
    </row>
    <row r="2395" spans="1:1">
      <c r="A2395" s="15"/>
    </row>
    <row r="2396" spans="1:1">
      <c r="A2396" s="15"/>
    </row>
    <row r="2397" spans="1:1">
      <c r="A2397" s="15"/>
    </row>
    <row r="2398" spans="1:1">
      <c r="A2398" s="15"/>
    </row>
    <row r="2399" spans="1:1">
      <c r="A2399" s="15"/>
    </row>
    <row r="2400" spans="1:1">
      <c r="A2400" s="15"/>
    </row>
    <row r="2401" spans="1:1">
      <c r="A2401" s="15"/>
    </row>
    <row r="2402" spans="1:1">
      <c r="A2402" s="15"/>
    </row>
    <row r="2403" spans="1:1">
      <c r="A2403" s="15"/>
    </row>
    <row r="2404" spans="1:1">
      <c r="A2404" s="15"/>
    </row>
    <row r="2405" spans="1:1">
      <c r="A2405" s="15"/>
    </row>
    <row r="2406" spans="1:1">
      <c r="A2406" s="15"/>
    </row>
    <row r="2407" spans="1:1">
      <c r="A2407" s="15"/>
    </row>
    <row r="2408" spans="1:1">
      <c r="A2408" s="15"/>
    </row>
    <row r="2409" spans="1:1">
      <c r="A2409" s="15"/>
    </row>
    <row r="2410" spans="1:1">
      <c r="A2410" s="15"/>
    </row>
    <row r="2411" spans="1:1">
      <c r="A2411" s="15"/>
    </row>
    <row r="2412" spans="1:1">
      <c r="A2412" s="15"/>
    </row>
    <row r="2413" spans="1:1">
      <c r="A2413" s="15"/>
    </row>
    <row r="2414" spans="1:1">
      <c r="A2414" s="15"/>
    </row>
    <row r="2415" spans="1:1">
      <c r="A2415" s="15"/>
    </row>
    <row r="2416" spans="1:1">
      <c r="A2416" s="15"/>
    </row>
    <row r="2417" spans="1:1">
      <c r="A2417" s="15"/>
    </row>
    <row r="2418" spans="1:1">
      <c r="A2418" s="15"/>
    </row>
    <row r="2419" spans="1:1">
      <c r="A2419" s="15"/>
    </row>
    <row r="2420" spans="1:1">
      <c r="A2420" s="15"/>
    </row>
    <row r="2421" spans="1:1">
      <c r="A2421" s="15"/>
    </row>
    <row r="2422" spans="1:1">
      <c r="A2422" s="15"/>
    </row>
    <row r="2423" spans="1:1">
      <c r="A2423" s="15"/>
    </row>
    <row r="2424" spans="1:1">
      <c r="A2424" s="15"/>
    </row>
    <row r="2425" spans="1:1">
      <c r="A2425" s="15"/>
    </row>
    <row r="2426" spans="1:1">
      <c r="A2426" s="15"/>
    </row>
    <row r="2427" spans="1:1">
      <c r="A2427" s="15"/>
    </row>
    <row r="2428" spans="1:1">
      <c r="A2428" s="15"/>
    </row>
    <row r="2429" spans="1:1">
      <c r="A2429" s="15"/>
    </row>
    <row r="2430" spans="1:1">
      <c r="A2430" s="15"/>
    </row>
    <row r="2431" spans="1:1">
      <c r="A2431" s="15"/>
    </row>
    <row r="2432" spans="1:1">
      <c r="A2432" s="15"/>
    </row>
    <row r="2433" spans="1:1">
      <c r="A2433" s="15"/>
    </row>
    <row r="2434" spans="1:1">
      <c r="A2434" s="15"/>
    </row>
    <row r="2435" spans="1:1">
      <c r="A2435" s="15"/>
    </row>
    <row r="2436" spans="1:1">
      <c r="A2436" s="15"/>
    </row>
    <row r="2437" spans="1:1">
      <c r="A2437" s="15"/>
    </row>
    <row r="2438" spans="1:1">
      <c r="A2438" s="15"/>
    </row>
    <row r="2439" spans="1:1">
      <c r="A2439" s="15"/>
    </row>
    <row r="2440" spans="1:1">
      <c r="A2440" s="15"/>
    </row>
    <row r="2441" spans="1:1">
      <c r="A2441" s="15"/>
    </row>
    <row r="2442" spans="1:1">
      <c r="A2442" s="15"/>
    </row>
    <row r="2443" spans="1:1">
      <c r="A2443" s="15"/>
    </row>
    <row r="2444" spans="1:1">
      <c r="A2444" s="15"/>
    </row>
    <row r="2445" spans="1:1">
      <c r="A2445" s="15"/>
    </row>
    <row r="2446" spans="1:1">
      <c r="A2446" s="15"/>
    </row>
    <row r="2447" spans="1:1">
      <c r="A2447" s="15"/>
    </row>
    <row r="2448" spans="1:1">
      <c r="A2448" s="15"/>
    </row>
    <row r="2449" spans="1:1">
      <c r="A2449" s="15"/>
    </row>
    <row r="2450" spans="1:1">
      <c r="A2450" s="15"/>
    </row>
    <row r="2451" spans="1:1">
      <c r="A2451" s="15"/>
    </row>
    <row r="2452" spans="1:1">
      <c r="A2452" s="15"/>
    </row>
    <row r="2453" spans="1:1">
      <c r="A2453" s="15"/>
    </row>
    <row r="2454" spans="1:1">
      <c r="A2454" s="15"/>
    </row>
    <row r="2455" spans="1:1">
      <c r="A2455" s="15"/>
    </row>
    <row r="2456" spans="1:1">
      <c r="A2456" s="15"/>
    </row>
    <row r="2457" spans="1:1">
      <c r="A2457" s="15"/>
    </row>
    <row r="2458" spans="1:1">
      <c r="A2458" s="15"/>
    </row>
    <row r="2459" spans="1:1">
      <c r="A2459" s="15"/>
    </row>
    <row r="2460" spans="1:1">
      <c r="A2460" s="15"/>
    </row>
    <row r="2461" spans="1:1">
      <c r="A2461" s="15"/>
    </row>
    <row r="2462" spans="1:1">
      <c r="A2462" s="15"/>
    </row>
    <row r="2463" spans="1:1">
      <c r="A2463" s="15"/>
    </row>
    <row r="2464" spans="1:1">
      <c r="A2464" s="15"/>
    </row>
    <row r="2465" spans="1:1">
      <c r="A2465" s="15"/>
    </row>
    <row r="2466" spans="1:1">
      <c r="A2466" s="15"/>
    </row>
    <row r="2467" spans="1:1">
      <c r="A2467" s="15"/>
    </row>
    <row r="2468" spans="1:1">
      <c r="A2468" s="15"/>
    </row>
    <row r="2469" spans="1:1">
      <c r="A2469" s="15"/>
    </row>
    <row r="2470" spans="1:1">
      <c r="A2470" s="15"/>
    </row>
    <row r="2471" spans="1:1">
      <c r="A2471" s="15"/>
    </row>
    <row r="2472" spans="1:1">
      <c r="A2472" s="15"/>
    </row>
    <row r="2473" spans="1:1">
      <c r="A2473" s="15"/>
    </row>
    <row r="2474" spans="1:1">
      <c r="A2474" s="15"/>
    </row>
    <row r="2475" spans="1:1">
      <c r="A2475" s="15"/>
    </row>
    <row r="2476" spans="1:1">
      <c r="A2476" s="15"/>
    </row>
    <row r="2477" spans="1:1">
      <c r="A2477" s="15"/>
    </row>
    <row r="2478" spans="1:1">
      <c r="A2478" s="15"/>
    </row>
    <row r="2479" spans="1:1">
      <c r="A2479" s="15"/>
    </row>
    <row r="2480" spans="1:1">
      <c r="A2480" s="15"/>
    </row>
    <row r="2481" spans="1:1">
      <c r="A2481" s="15"/>
    </row>
    <row r="2482" spans="1:1">
      <c r="A2482" s="15"/>
    </row>
    <row r="2483" spans="1:1">
      <c r="A2483" s="15"/>
    </row>
    <row r="2484" spans="1:1">
      <c r="A2484" s="15"/>
    </row>
    <row r="2485" spans="1:1">
      <c r="A2485" s="15"/>
    </row>
    <row r="2486" spans="1:1">
      <c r="A2486" s="15"/>
    </row>
    <row r="2487" spans="1:1">
      <c r="A2487" s="15"/>
    </row>
    <row r="2488" spans="1:1">
      <c r="A2488" s="15"/>
    </row>
    <row r="2489" spans="1:1">
      <c r="A2489" s="15"/>
    </row>
    <row r="2490" spans="1:1">
      <c r="A2490" s="15"/>
    </row>
    <row r="2491" spans="1:1">
      <c r="A2491" s="15"/>
    </row>
    <row r="2492" spans="1:1">
      <c r="A2492" s="15"/>
    </row>
    <row r="2493" spans="1:1">
      <c r="A2493" s="15"/>
    </row>
    <row r="2494" spans="1:1">
      <c r="A2494" s="15"/>
    </row>
    <row r="2495" spans="1:1">
      <c r="A2495" s="15"/>
    </row>
    <row r="2496" spans="1:1">
      <c r="A2496" s="15"/>
    </row>
    <row r="2497" spans="1:1">
      <c r="A2497" s="15"/>
    </row>
    <row r="2498" spans="1:1">
      <c r="A2498" s="15"/>
    </row>
    <row r="2499" spans="1:1">
      <c r="A2499" s="15"/>
    </row>
    <row r="2500" spans="1:1">
      <c r="A2500" s="15"/>
    </row>
    <row r="2501" spans="1:1">
      <c r="A2501" s="15"/>
    </row>
    <row r="2502" spans="1:1">
      <c r="A2502" s="15"/>
    </row>
    <row r="2503" spans="1:1">
      <c r="A2503" s="15"/>
    </row>
    <row r="2504" spans="1:1">
      <c r="A2504" s="15"/>
    </row>
    <row r="2505" spans="1:1">
      <c r="A2505" s="15"/>
    </row>
    <row r="2506" spans="1:1">
      <c r="A2506" s="15"/>
    </row>
    <row r="2507" spans="1:1">
      <c r="A2507" s="15"/>
    </row>
    <row r="2508" spans="1:1">
      <c r="A2508" s="15"/>
    </row>
    <row r="2509" spans="1:1">
      <c r="A2509" s="15"/>
    </row>
    <row r="2510" spans="1:1">
      <c r="A2510" s="15"/>
    </row>
    <row r="2511" spans="1:1">
      <c r="A2511" s="15"/>
    </row>
    <row r="2512" spans="1:1">
      <c r="A2512" s="15"/>
    </row>
    <row r="2513" spans="1:1">
      <c r="A2513" s="15"/>
    </row>
    <row r="2514" spans="1:1">
      <c r="A2514" s="15"/>
    </row>
    <row r="2515" spans="1:1">
      <c r="A2515" s="15"/>
    </row>
    <row r="2516" spans="1:1">
      <c r="A2516" s="15"/>
    </row>
    <row r="2517" spans="1:1">
      <c r="A2517" s="15"/>
    </row>
    <row r="2518" spans="1:1">
      <c r="A2518" s="15"/>
    </row>
    <row r="2519" spans="1:1">
      <c r="A2519" s="15"/>
    </row>
    <row r="2520" spans="1:1">
      <c r="A2520" s="15"/>
    </row>
    <row r="2521" spans="1:1">
      <c r="A2521" s="15"/>
    </row>
    <row r="2522" spans="1:1">
      <c r="A2522" s="15"/>
    </row>
    <row r="2523" spans="1:1">
      <c r="A2523" s="15"/>
    </row>
    <row r="2524" spans="1:1">
      <c r="A2524" s="15"/>
    </row>
    <row r="2525" spans="1:1">
      <c r="A2525" s="15"/>
    </row>
    <row r="2526" spans="1:1">
      <c r="A2526" s="15"/>
    </row>
    <row r="2527" spans="1:1">
      <c r="A2527" s="15"/>
    </row>
    <row r="2528" spans="1:1">
      <c r="A2528" s="15"/>
    </row>
    <row r="2529" spans="1:1">
      <c r="A2529" s="15"/>
    </row>
    <row r="2530" spans="1:1">
      <c r="A2530" s="15"/>
    </row>
    <row r="2531" spans="1:1">
      <c r="A2531" s="15"/>
    </row>
    <row r="2532" spans="1:1">
      <c r="A2532" s="15"/>
    </row>
    <row r="2533" spans="1:1">
      <c r="A2533" s="15"/>
    </row>
    <row r="2534" spans="1:1">
      <c r="A2534" s="15"/>
    </row>
    <row r="2535" spans="1:1">
      <c r="A2535" s="15"/>
    </row>
    <row r="2536" spans="1:1">
      <c r="A2536" s="15"/>
    </row>
    <row r="2537" spans="1:1">
      <c r="A2537" s="15"/>
    </row>
    <row r="2538" spans="1:1">
      <c r="A2538" s="15"/>
    </row>
    <row r="2539" spans="1:1">
      <c r="A2539" s="15"/>
    </row>
    <row r="2540" spans="1:1">
      <c r="A2540" s="15"/>
    </row>
    <row r="2541" spans="1:1">
      <c r="A2541" s="15"/>
    </row>
    <row r="2542" spans="1:1">
      <c r="A2542" s="15"/>
    </row>
    <row r="2543" spans="1:1">
      <c r="A2543" s="15"/>
    </row>
    <row r="2544" spans="1:1">
      <c r="A2544" s="15"/>
    </row>
    <row r="2545" spans="1:1">
      <c r="A2545" s="15"/>
    </row>
    <row r="2546" spans="1:1">
      <c r="A2546" s="15"/>
    </row>
    <row r="2547" spans="1:1">
      <c r="A2547" s="15"/>
    </row>
    <row r="2548" spans="1:1">
      <c r="A2548" s="15"/>
    </row>
    <row r="2549" spans="1:1">
      <c r="A2549" s="15"/>
    </row>
    <row r="2550" spans="1:1">
      <c r="A2550" s="15"/>
    </row>
    <row r="2551" spans="1:1">
      <c r="A2551" s="15"/>
    </row>
    <row r="2552" spans="1:1">
      <c r="A2552" s="15"/>
    </row>
    <row r="2553" spans="1:1">
      <c r="A2553" s="15"/>
    </row>
    <row r="2554" spans="1:1">
      <c r="A2554" s="15"/>
    </row>
    <row r="2555" spans="1:1">
      <c r="A2555" s="15"/>
    </row>
    <row r="2556" spans="1:1">
      <c r="A2556" s="15"/>
    </row>
    <row r="2557" spans="1:1">
      <c r="A2557" s="15"/>
    </row>
    <row r="2558" spans="1:1">
      <c r="A2558" s="15"/>
    </row>
    <row r="2559" spans="1:1">
      <c r="A2559" s="15"/>
    </row>
    <row r="2560" spans="1:1">
      <c r="A2560" s="15"/>
    </row>
    <row r="2561" spans="1:1">
      <c r="A2561" s="15"/>
    </row>
    <row r="2562" spans="1:1">
      <c r="A2562" s="15"/>
    </row>
    <row r="2563" spans="1:1">
      <c r="A2563" s="15"/>
    </row>
    <row r="2564" spans="1:1">
      <c r="A2564" s="15"/>
    </row>
    <row r="2565" spans="1:1">
      <c r="A2565" s="15"/>
    </row>
    <row r="2566" spans="1:1">
      <c r="A2566" s="15"/>
    </row>
    <row r="2567" spans="1:1">
      <c r="A2567" s="15"/>
    </row>
    <row r="2568" spans="1:1">
      <c r="A2568" s="15"/>
    </row>
    <row r="2569" spans="1:1">
      <c r="A2569" s="15"/>
    </row>
    <row r="2570" spans="1:1">
      <c r="A2570" s="15"/>
    </row>
    <row r="2571" spans="1:1">
      <c r="A2571" s="15"/>
    </row>
    <row r="2572" spans="1:1">
      <c r="A2572" s="15"/>
    </row>
    <row r="2573" spans="1:1">
      <c r="A2573" s="15"/>
    </row>
    <row r="2574" spans="1:1">
      <c r="A2574" s="15"/>
    </row>
    <row r="2575" spans="1:1">
      <c r="A2575" s="15"/>
    </row>
    <row r="2576" spans="1:1">
      <c r="A2576" s="15"/>
    </row>
    <row r="2577" spans="1:1">
      <c r="A2577" s="15"/>
    </row>
    <row r="2578" spans="1:1">
      <c r="A2578" s="15"/>
    </row>
    <row r="2579" spans="1:1">
      <c r="A2579" s="15"/>
    </row>
    <row r="2580" spans="1:1">
      <c r="A2580" s="15"/>
    </row>
    <row r="2581" spans="1:1">
      <c r="A2581" s="15"/>
    </row>
    <row r="2582" spans="1:1">
      <c r="A2582" s="15"/>
    </row>
    <row r="2583" spans="1:1">
      <c r="A2583" s="15"/>
    </row>
    <row r="2584" spans="1:1">
      <c r="A2584" s="15"/>
    </row>
    <row r="2585" spans="1:1">
      <c r="A2585" s="15"/>
    </row>
    <row r="2586" spans="1:1">
      <c r="A2586" s="15"/>
    </row>
    <row r="2587" spans="1:1">
      <c r="A2587" s="15"/>
    </row>
    <row r="2588" spans="1:1">
      <c r="A2588" s="15"/>
    </row>
    <row r="2589" spans="1:1">
      <c r="A2589" s="15"/>
    </row>
    <row r="2590" spans="1:1">
      <c r="A2590" s="15"/>
    </row>
    <row r="2591" spans="1:1">
      <c r="A2591" s="15"/>
    </row>
    <row r="2592" spans="1:1">
      <c r="A2592" s="15"/>
    </row>
    <row r="2593" spans="1:1">
      <c r="A2593" s="15"/>
    </row>
    <row r="2594" spans="1:1">
      <c r="A2594" s="15"/>
    </row>
    <row r="2595" spans="1:1">
      <c r="A2595" s="15"/>
    </row>
    <row r="2596" spans="1:1">
      <c r="A2596" s="15"/>
    </row>
    <row r="2597" spans="1:1">
      <c r="A2597" s="15"/>
    </row>
    <row r="2598" spans="1:1">
      <c r="A2598" s="15"/>
    </row>
    <row r="2599" spans="1:1">
      <c r="A2599" s="15"/>
    </row>
    <row r="2600" spans="1:1">
      <c r="A2600" s="15"/>
    </row>
    <row r="2601" spans="1:1">
      <c r="A2601" s="15"/>
    </row>
    <row r="2602" spans="1:1">
      <c r="A2602" s="15"/>
    </row>
    <row r="2603" spans="1:1">
      <c r="A2603" s="15"/>
    </row>
    <row r="2604" spans="1:1">
      <c r="A2604" s="15"/>
    </row>
    <row r="2605" spans="1:1">
      <c r="A2605" s="15"/>
    </row>
    <row r="2606" spans="1:1">
      <c r="A2606" s="15"/>
    </row>
    <row r="2607" spans="1:1">
      <c r="A2607" s="15"/>
    </row>
    <row r="2608" spans="1:1">
      <c r="A2608" s="15"/>
    </row>
    <row r="2609" spans="1:1">
      <c r="A2609" s="15"/>
    </row>
    <row r="2610" spans="1:1">
      <c r="A2610" s="15"/>
    </row>
    <row r="2611" spans="1:1">
      <c r="A2611" s="15"/>
    </row>
    <row r="2612" spans="1:1">
      <c r="A2612" s="15"/>
    </row>
    <row r="2613" spans="1:1">
      <c r="A2613" s="15"/>
    </row>
    <row r="2614" spans="1:1">
      <c r="A2614" s="15"/>
    </row>
    <row r="2615" spans="1:1">
      <c r="A2615" s="15"/>
    </row>
    <row r="2616" spans="1:1">
      <c r="A2616" s="15"/>
    </row>
    <row r="2617" spans="1:1">
      <c r="A2617" s="15"/>
    </row>
    <row r="2618" spans="1:1">
      <c r="A2618" s="15"/>
    </row>
    <row r="2619" spans="1:1">
      <c r="A2619" s="15"/>
    </row>
    <row r="2620" spans="1:1">
      <c r="A2620" s="15"/>
    </row>
    <row r="2621" spans="1:1">
      <c r="A2621" s="15"/>
    </row>
    <row r="2622" spans="1:1">
      <c r="A2622" s="15"/>
    </row>
    <row r="2623" spans="1:1">
      <c r="A2623" s="15"/>
    </row>
    <row r="2624" spans="1:1">
      <c r="A2624" s="15"/>
    </row>
    <row r="2625" spans="1:1">
      <c r="A2625" s="15"/>
    </row>
    <row r="2626" spans="1:1">
      <c r="A2626" s="15"/>
    </row>
    <row r="2627" spans="1:1">
      <c r="A2627" s="15"/>
    </row>
    <row r="2628" spans="1:1">
      <c r="A2628" s="15"/>
    </row>
    <row r="2629" spans="1:1">
      <c r="A2629" s="15"/>
    </row>
    <row r="2630" spans="1:1">
      <c r="A2630" s="15"/>
    </row>
    <row r="2631" spans="1:1">
      <c r="A2631" s="15"/>
    </row>
    <row r="2632" spans="1:1">
      <c r="A2632" s="15"/>
    </row>
    <row r="2633" spans="1:1">
      <c r="A2633" s="15"/>
    </row>
    <row r="2634" spans="1:1">
      <c r="A2634" s="15"/>
    </row>
    <row r="2635" spans="1:1">
      <c r="A2635" s="15"/>
    </row>
    <row r="2636" spans="1:1">
      <c r="A2636" s="15"/>
    </row>
    <row r="2637" spans="1:1">
      <c r="A2637" s="15"/>
    </row>
    <row r="2638" spans="1:1">
      <c r="A2638" s="15"/>
    </row>
    <row r="2639" spans="1:1">
      <c r="A2639" s="15"/>
    </row>
    <row r="2640" spans="1:1">
      <c r="A2640" s="15"/>
    </row>
    <row r="2641" spans="1:1">
      <c r="A2641" s="15"/>
    </row>
    <row r="2642" spans="1:1">
      <c r="A2642" s="15"/>
    </row>
    <row r="2643" spans="1:1">
      <c r="A2643" s="15"/>
    </row>
    <row r="2644" spans="1:1">
      <c r="A2644" s="15"/>
    </row>
    <row r="2645" spans="1:1">
      <c r="A2645" s="15"/>
    </row>
    <row r="2646" spans="1:1">
      <c r="A2646" s="15"/>
    </row>
    <row r="2647" spans="1:1">
      <c r="A2647" s="15"/>
    </row>
    <row r="2648" spans="1:1">
      <c r="A2648" s="15"/>
    </row>
    <row r="2649" spans="1:1">
      <c r="A2649" s="15"/>
    </row>
    <row r="2650" spans="1:1">
      <c r="A2650" s="15"/>
    </row>
    <row r="2651" spans="1:1">
      <c r="A2651" s="15"/>
    </row>
    <row r="2652" spans="1:1">
      <c r="A2652" s="15"/>
    </row>
    <row r="2653" spans="1:1">
      <c r="A2653" s="15"/>
    </row>
    <row r="2654" spans="1:1">
      <c r="A2654" s="15"/>
    </row>
    <row r="2655" spans="1:1">
      <c r="A2655" s="15"/>
    </row>
    <row r="2656" spans="1:1">
      <c r="A2656" s="15"/>
    </row>
    <row r="2657" spans="1:1">
      <c r="A2657" s="15"/>
    </row>
    <row r="2658" spans="1:1">
      <c r="A2658" s="15"/>
    </row>
    <row r="2659" spans="1:1">
      <c r="A2659" s="15"/>
    </row>
    <row r="2660" spans="1:1">
      <c r="A2660" s="15"/>
    </row>
    <row r="2661" spans="1:1">
      <c r="A2661" s="15"/>
    </row>
    <row r="2662" spans="1:1">
      <c r="A2662" s="15"/>
    </row>
    <row r="2663" spans="1:1">
      <c r="A2663" s="15"/>
    </row>
    <row r="2664" spans="1:1">
      <c r="A2664" s="15"/>
    </row>
    <row r="2665" spans="1:1">
      <c r="A2665" s="15"/>
    </row>
    <row r="2666" spans="1:1">
      <c r="A2666" s="15"/>
    </row>
    <row r="2667" spans="1:1">
      <c r="A2667" s="15"/>
    </row>
    <row r="2668" spans="1:1">
      <c r="A2668" s="15"/>
    </row>
    <row r="2669" spans="1:1">
      <c r="A2669" s="15"/>
    </row>
    <row r="2670" spans="1:1">
      <c r="A2670" s="15"/>
    </row>
    <row r="2671" spans="1:1">
      <c r="A2671" s="15"/>
    </row>
    <row r="2672" spans="1:1">
      <c r="A2672" s="15"/>
    </row>
    <row r="2673" spans="1:1">
      <c r="A2673" s="15"/>
    </row>
    <row r="2674" spans="1:1">
      <c r="A2674" s="15"/>
    </row>
    <row r="2675" spans="1:1">
      <c r="A2675" s="15"/>
    </row>
    <row r="2676" spans="1:1">
      <c r="A2676" s="15"/>
    </row>
    <row r="2677" spans="1:1">
      <c r="A2677" s="15"/>
    </row>
    <row r="2678" spans="1:1">
      <c r="A2678" s="15"/>
    </row>
    <row r="2679" spans="1:1">
      <c r="A2679" s="15"/>
    </row>
    <row r="2680" spans="1:1">
      <c r="A2680" s="15"/>
    </row>
    <row r="2681" spans="1:1">
      <c r="A2681" s="15"/>
    </row>
    <row r="2682" spans="1:1">
      <c r="A2682" s="15"/>
    </row>
    <row r="2683" spans="1:1">
      <c r="A2683" s="15"/>
    </row>
    <row r="2684" spans="1:1">
      <c r="A2684" s="15"/>
    </row>
    <row r="2685" spans="1:1">
      <c r="A2685" s="15"/>
    </row>
    <row r="2686" spans="1:1">
      <c r="A2686" s="15"/>
    </row>
    <row r="2687" spans="1:1">
      <c r="A2687" s="15"/>
    </row>
    <row r="2688" spans="1:1">
      <c r="A2688" s="15"/>
    </row>
    <row r="2689" spans="1:1">
      <c r="A2689" s="15"/>
    </row>
    <row r="2690" spans="1:1">
      <c r="A2690" s="15"/>
    </row>
    <row r="2691" spans="1:1">
      <c r="A2691" s="15"/>
    </row>
    <row r="2692" spans="1:1">
      <c r="A2692" s="15"/>
    </row>
    <row r="2693" spans="1:1">
      <c r="A2693" s="15"/>
    </row>
    <row r="2694" spans="1:1">
      <c r="A2694" s="15"/>
    </row>
    <row r="2695" spans="1:1">
      <c r="A2695" s="15"/>
    </row>
    <row r="2696" spans="1:1">
      <c r="A2696" s="15"/>
    </row>
    <row r="2697" spans="1:1">
      <c r="A2697" s="15"/>
    </row>
    <row r="2698" spans="1:1">
      <c r="A2698" s="15"/>
    </row>
    <row r="2699" spans="1:1">
      <c r="A2699" s="15"/>
    </row>
    <row r="2700" spans="1:1">
      <c r="A2700" s="15"/>
    </row>
    <row r="2701" spans="1:1">
      <c r="A2701" s="15"/>
    </row>
    <row r="2702" spans="1:1">
      <c r="A2702" s="15"/>
    </row>
    <row r="2703" spans="1:1">
      <c r="A2703" s="15"/>
    </row>
    <row r="2704" spans="1:1">
      <c r="A2704" s="15"/>
    </row>
    <row r="2705" spans="1:1">
      <c r="A2705" s="15"/>
    </row>
    <row r="2706" spans="1:1">
      <c r="A2706" s="15"/>
    </row>
    <row r="2707" spans="1:1">
      <c r="A2707" s="15"/>
    </row>
    <row r="2708" spans="1:1">
      <c r="A2708" s="15"/>
    </row>
    <row r="2709" spans="1:1">
      <c r="A2709" s="15"/>
    </row>
    <row r="2710" spans="1:1">
      <c r="A2710" s="15"/>
    </row>
    <row r="2711" spans="1:1">
      <c r="A2711" s="15"/>
    </row>
    <row r="2712" spans="1:1">
      <c r="A2712" s="15"/>
    </row>
    <row r="2713" spans="1:1">
      <c r="A2713" s="15"/>
    </row>
    <row r="2714" spans="1:1">
      <c r="A2714" s="15"/>
    </row>
    <row r="2715" spans="1:1">
      <c r="A2715" s="15"/>
    </row>
    <row r="2716" spans="1:1">
      <c r="A2716" s="15"/>
    </row>
    <row r="2717" spans="1:1">
      <c r="A2717" s="15"/>
    </row>
    <row r="2718" spans="1:1">
      <c r="A2718" s="15"/>
    </row>
    <row r="2719" spans="1:1">
      <c r="A2719" s="15"/>
    </row>
    <row r="2720" spans="1:1">
      <c r="A2720" s="15"/>
    </row>
    <row r="2721" spans="1:1">
      <c r="A2721" s="15"/>
    </row>
    <row r="2722" spans="1:1">
      <c r="A2722" s="15"/>
    </row>
    <row r="2723" spans="1:1">
      <c r="A2723" s="15"/>
    </row>
    <row r="2724" spans="1:1">
      <c r="A2724" s="15"/>
    </row>
    <row r="2725" spans="1:1">
      <c r="A2725" s="15"/>
    </row>
    <row r="2726" spans="1:1">
      <c r="A2726" s="15"/>
    </row>
    <row r="2727" spans="1:1">
      <c r="A2727" s="15"/>
    </row>
    <row r="2728" spans="1:1">
      <c r="A2728" s="15"/>
    </row>
    <row r="2729" spans="1:1">
      <c r="A2729" s="15"/>
    </row>
    <row r="2730" spans="1:1">
      <c r="A2730" s="15"/>
    </row>
    <row r="2731" spans="1:1">
      <c r="A2731" s="15"/>
    </row>
    <row r="2732" spans="1:1">
      <c r="A2732" s="15"/>
    </row>
    <row r="2733" spans="1:1">
      <c r="A2733" s="15"/>
    </row>
    <row r="2734" spans="1:1">
      <c r="A2734" s="15"/>
    </row>
    <row r="2735" spans="1:1">
      <c r="A2735" s="15"/>
    </row>
    <row r="2736" spans="1:1">
      <c r="A2736" s="15"/>
    </row>
    <row r="2737" spans="1:1">
      <c r="A2737" s="15"/>
    </row>
    <row r="2738" spans="1:1">
      <c r="A2738" s="15"/>
    </row>
    <row r="2739" spans="1:1">
      <c r="A2739" s="15"/>
    </row>
    <row r="2740" spans="1:1">
      <c r="A2740" s="15"/>
    </row>
    <row r="2741" spans="1:1">
      <c r="A2741" s="15"/>
    </row>
    <row r="2742" spans="1:1">
      <c r="A2742" s="15"/>
    </row>
    <row r="2743" spans="1:1">
      <c r="A2743" s="15"/>
    </row>
    <row r="2744" spans="1:1">
      <c r="A2744" s="15"/>
    </row>
    <row r="2745" spans="1:1">
      <c r="A2745" s="15"/>
    </row>
    <row r="2746" spans="1:1">
      <c r="A2746" s="15"/>
    </row>
    <row r="2747" spans="1:1">
      <c r="A2747" s="15"/>
    </row>
    <row r="2748" spans="1:1">
      <c r="A2748" s="15"/>
    </row>
    <row r="2749" spans="1:1">
      <c r="A2749" s="15"/>
    </row>
    <row r="2750" spans="1:1">
      <c r="A2750" s="15"/>
    </row>
    <row r="2751" spans="1:1">
      <c r="A2751" s="15"/>
    </row>
    <row r="2752" spans="1:1">
      <c r="A2752" s="15"/>
    </row>
    <row r="2753" spans="1:1">
      <c r="A2753" s="15"/>
    </row>
    <row r="2754" spans="1:1">
      <c r="A2754" s="15"/>
    </row>
    <row r="2755" spans="1:1">
      <c r="A2755" s="15"/>
    </row>
    <row r="2756" spans="1:1">
      <c r="A2756" s="15"/>
    </row>
    <row r="2757" spans="1:1">
      <c r="A2757" s="15"/>
    </row>
    <row r="2758" spans="1:1">
      <c r="A2758" s="15"/>
    </row>
    <row r="2759" spans="1:1">
      <c r="A2759" s="15"/>
    </row>
    <row r="2760" spans="1:1">
      <c r="A2760" s="15"/>
    </row>
    <row r="2761" spans="1:1">
      <c r="A2761" s="15"/>
    </row>
    <row r="2762" spans="1:1">
      <c r="A2762" s="15"/>
    </row>
    <row r="2763" spans="1:1">
      <c r="A2763" s="15"/>
    </row>
    <row r="2764" spans="1:1">
      <c r="A2764" s="15"/>
    </row>
    <row r="2765" spans="1:1">
      <c r="A2765" s="15"/>
    </row>
    <row r="2766" spans="1:1">
      <c r="A2766" s="15"/>
    </row>
    <row r="2767" spans="1:1">
      <c r="A2767" s="15"/>
    </row>
    <row r="2768" spans="1:1">
      <c r="A2768" s="15"/>
    </row>
    <row r="2769" spans="1:1">
      <c r="A2769" s="15"/>
    </row>
    <row r="2770" spans="1:1">
      <c r="A2770" s="15"/>
    </row>
    <row r="2771" spans="1:1">
      <c r="A2771" s="15"/>
    </row>
    <row r="2772" spans="1:1">
      <c r="A2772" s="15"/>
    </row>
    <row r="2773" spans="1:1">
      <c r="A2773" s="15"/>
    </row>
    <row r="2774" spans="1:1">
      <c r="A2774" s="15"/>
    </row>
    <row r="2775" spans="1:1">
      <c r="A2775" s="15"/>
    </row>
    <row r="2776" spans="1:1">
      <c r="A2776" s="15"/>
    </row>
    <row r="2777" spans="1:1">
      <c r="A2777" s="15"/>
    </row>
    <row r="2778" spans="1:1">
      <c r="A2778" s="15"/>
    </row>
    <row r="2779" spans="1:1">
      <c r="A2779" s="15"/>
    </row>
    <row r="2780" spans="1:1">
      <c r="A2780" s="15"/>
    </row>
    <row r="2781" spans="1:1">
      <c r="A2781" s="15"/>
    </row>
    <row r="2782" spans="1:1">
      <c r="A2782" s="15"/>
    </row>
    <row r="2783" spans="1:1">
      <c r="A2783" s="15"/>
    </row>
    <row r="2784" spans="1:1">
      <c r="A2784" s="15"/>
    </row>
    <row r="2785" spans="1:1">
      <c r="A2785" s="15"/>
    </row>
    <row r="2786" spans="1:1">
      <c r="A2786" s="15"/>
    </row>
    <row r="2787" spans="1:1">
      <c r="A2787" s="15"/>
    </row>
    <row r="2788" spans="1:1">
      <c r="A2788" s="15"/>
    </row>
    <row r="2789" spans="1:1">
      <c r="A2789" s="15"/>
    </row>
    <row r="2790" spans="1:1">
      <c r="A2790" s="15"/>
    </row>
    <row r="2791" spans="1:1">
      <c r="A2791" s="15"/>
    </row>
    <row r="2792" spans="1:1">
      <c r="A2792" s="15"/>
    </row>
    <row r="2793" spans="1:1">
      <c r="A2793" s="15"/>
    </row>
    <row r="2794" spans="1:1">
      <c r="A2794" s="15"/>
    </row>
    <row r="2795" spans="1:1">
      <c r="A2795" s="15"/>
    </row>
    <row r="2796" spans="1:1">
      <c r="A2796" s="15"/>
    </row>
    <row r="2797" spans="1:1">
      <c r="A2797" s="15"/>
    </row>
    <row r="2798" spans="1:1">
      <c r="A2798" s="15"/>
    </row>
    <row r="2799" spans="1:1">
      <c r="A2799" s="15"/>
    </row>
    <row r="2800" spans="1:1">
      <c r="A2800" s="15"/>
    </row>
    <row r="2801" spans="1:1">
      <c r="A2801" s="15"/>
    </row>
    <row r="2802" spans="1:1">
      <c r="A2802" s="15"/>
    </row>
    <row r="2803" spans="1:1">
      <c r="A2803" s="15"/>
    </row>
    <row r="2804" spans="1:1">
      <c r="A2804" s="15"/>
    </row>
    <row r="2805" spans="1:1">
      <c r="A2805" s="15"/>
    </row>
    <row r="2806" spans="1:1">
      <c r="A2806" s="15"/>
    </row>
    <row r="2807" spans="1:1">
      <c r="A2807" s="15"/>
    </row>
    <row r="2808" spans="1:1">
      <c r="A2808" s="15"/>
    </row>
    <row r="2809" spans="1:1">
      <c r="A2809" s="15"/>
    </row>
    <row r="2810" spans="1:1">
      <c r="A2810" s="15"/>
    </row>
    <row r="2811" spans="1:1">
      <c r="A2811" s="15"/>
    </row>
    <row r="2812" spans="1:1">
      <c r="A2812" s="15"/>
    </row>
    <row r="2813" spans="1:1">
      <c r="A2813" s="15"/>
    </row>
    <row r="2814" spans="1:1">
      <c r="A2814" s="15"/>
    </row>
    <row r="2815" spans="1:1">
      <c r="A2815" s="15"/>
    </row>
    <row r="2816" spans="1:1">
      <c r="A2816" s="15"/>
    </row>
    <row r="2817" spans="1:1">
      <c r="A2817" s="15"/>
    </row>
    <row r="2818" spans="1:1">
      <c r="A2818" s="15"/>
    </row>
    <row r="2819" spans="1:1">
      <c r="A2819" s="15"/>
    </row>
    <row r="2820" spans="1:1">
      <c r="A2820" s="15"/>
    </row>
    <row r="2821" spans="1:1">
      <c r="A2821" s="15"/>
    </row>
    <row r="2822" spans="1:1">
      <c r="A2822" s="15"/>
    </row>
    <row r="2823" spans="1:1">
      <c r="A2823" s="15"/>
    </row>
    <row r="2824" spans="1:1">
      <c r="A2824" s="15"/>
    </row>
    <row r="2825" spans="1:1">
      <c r="A2825" s="15"/>
    </row>
    <row r="2826" spans="1:1">
      <c r="A2826" s="15"/>
    </row>
    <row r="2827" spans="1:1">
      <c r="A2827" s="15"/>
    </row>
    <row r="2828" spans="1:1">
      <c r="A2828" s="15"/>
    </row>
    <row r="2829" spans="1:1">
      <c r="A2829" s="15"/>
    </row>
    <row r="2830" spans="1:1">
      <c r="A2830" s="15"/>
    </row>
    <row r="2831" spans="1:1">
      <c r="A2831" s="15"/>
    </row>
    <row r="2832" spans="1:1">
      <c r="A2832" s="15"/>
    </row>
    <row r="2833" spans="1:1">
      <c r="A2833" s="15"/>
    </row>
    <row r="2834" spans="1:1">
      <c r="A2834" s="15"/>
    </row>
    <row r="2835" spans="1:1">
      <c r="A2835" s="15"/>
    </row>
    <row r="2836" spans="1:1">
      <c r="A2836" s="15"/>
    </row>
    <row r="2837" spans="1:1">
      <c r="A2837" s="15"/>
    </row>
    <row r="2838" spans="1:1">
      <c r="A2838" s="15"/>
    </row>
    <row r="2839" spans="1:1">
      <c r="A2839" s="15"/>
    </row>
    <row r="2840" spans="1:1">
      <c r="A2840" s="15"/>
    </row>
    <row r="2841" spans="1:1">
      <c r="A2841" s="15"/>
    </row>
    <row r="2842" spans="1:1">
      <c r="A2842" s="15"/>
    </row>
    <row r="2843" spans="1:1">
      <c r="A2843" s="15"/>
    </row>
    <row r="2844" spans="1:1">
      <c r="A2844" s="15"/>
    </row>
    <row r="2845" spans="1:1">
      <c r="A2845" s="15"/>
    </row>
    <row r="2846" spans="1:1">
      <c r="A2846" s="15"/>
    </row>
    <row r="2847" spans="1:1">
      <c r="A2847" s="15"/>
    </row>
    <row r="2848" spans="1:1">
      <c r="A2848" s="15"/>
    </row>
    <row r="2849" spans="1:1">
      <c r="A2849" s="15"/>
    </row>
    <row r="2850" spans="1:1">
      <c r="A2850" s="15"/>
    </row>
    <row r="2851" spans="1:1">
      <c r="A2851" s="15"/>
    </row>
    <row r="2852" spans="1:1">
      <c r="A2852" s="15"/>
    </row>
    <row r="2853" spans="1:1">
      <c r="A2853" s="15"/>
    </row>
    <row r="2854" spans="1:1">
      <c r="A2854" s="15"/>
    </row>
    <row r="2855" spans="1:1">
      <c r="A2855" s="15"/>
    </row>
    <row r="2856" spans="1:1">
      <c r="A2856" s="15"/>
    </row>
    <row r="2857" spans="1:1">
      <c r="A2857" s="15"/>
    </row>
    <row r="2858" spans="1:1">
      <c r="A2858" s="15"/>
    </row>
    <row r="2859" spans="1:1">
      <c r="A2859" s="15"/>
    </row>
    <row r="2860" spans="1:1">
      <c r="A2860" s="15"/>
    </row>
    <row r="2861" spans="1:1">
      <c r="A2861" s="15"/>
    </row>
    <row r="2862" spans="1:1">
      <c r="A2862" s="15"/>
    </row>
    <row r="2863" spans="1:1">
      <c r="A2863" s="15"/>
    </row>
    <row r="2864" spans="1:1">
      <c r="A2864" s="15"/>
    </row>
    <row r="2865" spans="1:1">
      <c r="A2865" s="15"/>
    </row>
    <row r="2866" spans="1:1">
      <c r="A2866" s="15"/>
    </row>
    <row r="2867" spans="1:1">
      <c r="A2867" s="15"/>
    </row>
    <row r="2868" spans="1:1">
      <c r="A2868" s="15"/>
    </row>
    <row r="2869" spans="1:1">
      <c r="A2869" s="15"/>
    </row>
    <row r="2870" spans="1:1">
      <c r="A2870" s="15"/>
    </row>
    <row r="2871" spans="1:1">
      <c r="A2871" s="15"/>
    </row>
    <row r="2872" spans="1:1">
      <c r="A2872" s="15"/>
    </row>
    <row r="2873" spans="1:1">
      <c r="A2873" s="15"/>
    </row>
    <row r="2874" spans="1:1">
      <c r="A2874" s="15"/>
    </row>
    <row r="2875" spans="1:1">
      <c r="A2875" s="15"/>
    </row>
    <row r="2876" spans="1:1">
      <c r="A2876" s="15"/>
    </row>
    <row r="2877" spans="1:1">
      <c r="A2877" s="15"/>
    </row>
    <row r="2878" spans="1:1">
      <c r="A2878" s="15"/>
    </row>
    <row r="2879" spans="1:1">
      <c r="A2879" s="15"/>
    </row>
    <row r="2880" spans="1:1">
      <c r="A2880" s="15"/>
    </row>
    <row r="2881" spans="1:1">
      <c r="A2881" s="15"/>
    </row>
    <row r="2882" spans="1:1">
      <c r="A2882" s="15"/>
    </row>
    <row r="2883" spans="1:1">
      <c r="A2883" s="15"/>
    </row>
    <row r="2884" spans="1:1">
      <c r="A2884" s="15"/>
    </row>
    <row r="2885" spans="1:1">
      <c r="A2885" s="15"/>
    </row>
    <row r="2886" spans="1:1">
      <c r="A2886" s="15"/>
    </row>
    <row r="2887" spans="1:1">
      <c r="A2887" s="15"/>
    </row>
    <row r="2888" spans="1:1">
      <c r="A2888" s="15"/>
    </row>
    <row r="2889" spans="1:1">
      <c r="A2889" s="15"/>
    </row>
    <row r="2890" spans="1:1">
      <c r="A2890" s="15"/>
    </row>
    <row r="2891" spans="1:1">
      <c r="A2891" s="15"/>
    </row>
    <row r="2892" spans="1:1">
      <c r="A2892" s="15"/>
    </row>
    <row r="2893" spans="1:1">
      <c r="A2893" s="15"/>
    </row>
    <row r="2894" spans="1:1">
      <c r="A2894" s="15"/>
    </row>
    <row r="2895" spans="1:1">
      <c r="A2895" s="15"/>
    </row>
    <row r="2896" spans="1:1">
      <c r="A2896" s="15"/>
    </row>
    <row r="2897" spans="1:1">
      <c r="A2897" s="15"/>
    </row>
    <row r="2898" spans="1:1">
      <c r="A2898" s="15"/>
    </row>
    <row r="2899" spans="1:1">
      <c r="A2899" s="15"/>
    </row>
    <row r="2900" spans="1:1">
      <c r="A2900" s="15"/>
    </row>
    <row r="2901" spans="1:1">
      <c r="A2901" s="15"/>
    </row>
    <row r="2902" spans="1:1">
      <c r="A2902" s="15"/>
    </row>
    <row r="2903" spans="1:1">
      <c r="A2903" s="15"/>
    </row>
    <row r="2904" spans="1:1">
      <c r="A2904" s="15"/>
    </row>
    <row r="2905" spans="1:1">
      <c r="A2905" s="15"/>
    </row>
    <row r="2906" spans="1:1">
      <c r="A2906" s="15"/>
    </row>
    <row r="2907" spans="1:1">
      <c r="A2907" s="15"/>
    </row>
    <row r="2908" spans="1:1">
      <c r="A2908" s="15"/>
    </row>
    <row r="2909" spans="1:1">
      <c r="A2909" s="15"/>
    </row>
    <row r="2910" spans="1:1">
      <c r="A2910" s="15"/>
    </row>
    <row r="2911" spans="1:1">
      <c r="A2911" s="15"/>
    </row>
    <row r="2912" spans="1:1">
      <c r="A2912" s="15"/>
    </row>
    <row r="2913" spans="1:1">
      <c r="A2913" s="15"/>
    </row>
    <row r="2914" spans="1:1">
      <c r="A2914" s="15"/>
    </row>
    <row r="2915" spans="1:1">
      <c r="A2915" s="15"/>
    </row>
    <row r="2916" spans="1:1">
      <c r="A2916" s="15"/>
    </row>
    <row r="2917" spans="1:1">
      <c r="A2917" s="15"/>
    </row>
    <row r="2918" spans="1:1">
      <c r="A2918" s="15"/>
    </row>
    <row r="2919" spans="1:1">
      <c r="A2919" s="15"/>
    </row>
    <row r="2920" spans="1:1">
      <c r="A2920" s="15"/>
    </row>
    <row r="2921" spans="1:1">
      <c r="A2921" s="15"/>
    </row>
    <row r="2922" spans="1:1">
      <c r="A2922" s="15"/>
    </row>
    <row r="2923" spans="1:1">
      <c r="A2923" s="15"/>
    </row>
    <row r="2924" spans="1:1">
      <c r="A2924" s="15"/>
    </row>
    <row r="2925" spans="1:1">
      <c r="A2925" s="15"/>
    </row>
    <row r="2926" spans="1:1">
      <c r="A2926" s="15"/>
    </row>
    <row r="2927" spans="1:1">
      <c r="A2927" s="15"/>
    </row>
    <row r="2928" spans="1:1">
      <c r="A2928" s="15"/>
    </row>
    <row r="2929" spans="1:1">
      <c r="A2929" s="15"/>
    </row>
    <row r="2930" spans="1:1">
      <c r="A2930" s="15"/>
    </row>
    <row r="2931" spans="1:1">
      <c r="A2931" s="15"/>
    </row>
    <row r="2932" spans="1:1">
      <c r="A2932" s="15"/>
    </row>
    <row r="2933" spans="1:1">
      <c r="A2933" s="15"/>
    </row>
    <row r="2934" spans="1:1">
      <c r="A2934" s="15"/>
    </row>
    <row r="2935" spans="1:1">
      <c r="A2935" s="15"/>
    </row>
    <row r="2936" spans="1:1">
      <c r="A2936" s="15"/>
    </row>
    <row r="2937" spans="1:1">
      <c r="A2937" s="15"/>
    </row>
    <row r="2938" spans="1:1">
      <c r="A2938" s="15"/>
    </row>
    <row r="2939" spans="1:1">
      <c r="A2939" s="15"/>
    </row>
    <row r="2940" spans="1:1">
      <c r="A2940" s="15"/>
    </row>
    <row r="2941" spans="1:1">
      <c r="A2941" s="15"/>
    </row>
    <row r="2942" spans="1:1">
      <c r="A2942" s="15"/>
    </row>
    <row r="2943" spans="1:1">
      <c r="A2943" s="15"/>
    </row>
    <row r="2944" spans="1:1">
      <c r="A2944" s="15"/>
    </row>
    <row r="2945" spans="1:1">
      <c r="A2945" s="15"/>
    </row>
    <row r="2946" spans="1:1">
      <c r="A2946" s="15"/>
    </row>
    <row r="2947" spans="1:1">
      <c r="A2947" s="15"/>
    </row>
    <row r="2948" spans="1:1">
      <c r="A2948" s="15"/>
    </row>
    <row r="2949" spans="1:1">
      <c r="A2949" s="15"/>
    </row>
    <row r="2950" spans="1:1">
      <c r="A2950" s="15"/>
    </row>
    <row r="2951" spans="1:1">
      <c r="A2951" s="15"/>
    </row>
    <row r="2952" spans="1:1">
      <c r="A2952" s="15"/>
    </row>
    <row r="2953" spans="1:1">
      <c r="A2953" s="15"/>
    </row>
    <row r="2954" spans="1:1">
      <c r="A2954" s="15"/>
    </row>
    <row r="2955" spans="1:1">
      <c r="A2955" s="15"/>
    </row>
    <row r="2956" spans="1:1">
      <c r="A2956" s="15"/>
    </row>
    <row r="2957" spans="1:1">
      <c r="A2957" s="15"/>
    </row>
    <row r="2958" spans="1:1">
      <c r="A2958" s="15"/>
    </row>
    <row r="2959" spans="1:1">
      <c r="A2959" s="15"/>
    </row>
    <row r="2960" spans="1:1">
      <c r="A2960" s="15"/>
    </row>
    <row r="2961" spans="1:1">
      <c r="A2961" s="15"/>
    </row>
    <row r="2962" spans="1:1">
      <c r="A2962" s="15"/>
    </row>
    <row r="2963" spans="1:1">
      <c r="A2963" s="15"/>
    </row>
    <row r="2964" spans="1:1">
      <c r="A2964" s="15"/>
    </row>
    <row r="2965" spans="1:1">
      <c r="A2965" s="15"/>
    </row>
    <row r="2966" spans="1:1">
      <c r="A2966" s="15"/>
    </row>
    <row r="2967" spans="1:1">
      <c r="A2967" s="15"/>
    </row>
    <row r="2968" spans="1:1">
      <c r="A2968" s="15"/>
    </row>
    <row r="2969" spans="1:1">
      <c r="A2969" s="15"/>
    </row>
    <row r="2970" spans="1:1">
      <c r="A2970" s="15"/>
    </row>
    <row r="2971" spans="1:1">
      <c r="A2971" s="15"/>
    </row>
    <row r="2972" spans="1:1">
      <c r="A2972" s="15"/>
    </row>
    <row r="2973" spans="1:1">
      <c r="A2973" s="15"/>
    </row>
    <row r="2974" spans="1:1">
      <c r="A2974" s="15"/>
    </row>
    <row r="2975" spans="1:1">
      <c r="A2975" s="15"/>
    </row>
    <row r="2976" spans="1:1">
      <c r="A2976" s="15"/>
    </row>
    <row r="2977" spans="1:1">
      <c r="A2977" s="15"/>
    </row>
    <row r="2978" spans="1:1">
      <c r="A2978" s="15"/>
    </row>
    <row r="2979" spans="1:1">
      <c r="A2979" s="15"/>
    </row>
    <row r="2980" spans="1:1">
      <c r="A2980" s="15"/>
    </row>
    <row r="2981" spans="1:1">
      <c r="A2981" s="15"/>
    </row>
    <row r="2982" spans="1:1">
      <c r="A2982" s="15"/>
    </row>
    <row r="2983" spans="1:1">
      <c r="A2983" s="15"/>
    </row>
    <row r="2984" spans="1:1">
      <c r="A2984" s="15"/>
    </row>
    <row r="2985" spans="1:1">
      <c r="A2985" s="15"/>
    </row>
    <row r="2986" spans="1:1">
      <c r="A2986" s="15"/>
    </row>
    <row r="2987" spans="1:1">
      <c r="A2987" s="15"/>
    </row>
    <row r="2988" spans="1:1">
      <c r="A2988" s="15"/>
    </row>
    <row r="2989" spans="1:1">
      <c r="A2989" s="15"/>
    </row>
    <row r="2990" spans="1:1">
      <c r="A2990" s="15"/>
    </row>
    <row r="2991" spans="1:1">
      <c r="A2991" s="15"/>
    </row>
    <row r="2992" spans="1:1">
      <c r="A2992" s="15"/>
    </row>
    <row r="2993" spans="1:1">
      <c r="A2993" s="15"/>
    </row>
    <row r="2994" spans="1:1">
      <c r="A2994" s="15"/>
    </row>
    <row r="2995" spans="1:1">
      <c r="A2995" s="15"/>
    </row>
    <row r="2996" spans="1:1">
      <c r="A2996" s="15"/>
    </row>
    <row r="2997" spans="1:1">
      <c r="A2997" s="15"/>
    </row>
    <row r="2998" spans="1:1">
      <c r="A2998" s="15"/>
    </row>
    <row r="2999" spans="1:1">
      <c r="A2999" s="15"/>
    </row>
    <row r="3000" spans="1:1">
      <c r="A3000" s="15"/>
    </row>
    <row r="3001" spans="1:1">
      <c r="A3001" s="15"/>
    </row>
    <row r="3002" spans="1:1">
      <c r="A3002" s="15"/>
    </row>
    <row r="3003" spans="1:1">
      <c r="A3003" s="15"/>
    </row>
    <row r="3004" spans="1:1">
      <c r="A3004" s="15"/>
    </row>
    <row r="3005" spans="1:1">
      <c r="A3005" s="15"/>
    </row>
    <row r="3006" spans="1:1">
      <c r="A3006" s="15"/>
    </row>
    <row r="3007" spans="1:1">
      <c r="A3007" s="15"/>
    </row>
    <row r="3008" spans="1:1">
      <c r="A3008" s="15"/>
    </row>
    <row r="3009" spans="1:1">
      <c r="A3009" s="15"/>
    </row>
    <row r="3010" spans="1:1">
      <c r="A3010" s="15"/>
    </row>
    <row r="3011" spans="1:1">
      <c r="A3011" s="15"/>
    </row>
    <row r="3012" spans="1:1">
      <c r="A3012" s="15"/>
    </row>
    <row r="3013" spans="1:1">
      <c r="A3013" s="15"/>
    </row>
    <row r="3014" spans="1:1">
      <c r="A3014" s="15"/>
    </row>
    <row r="3015" spans="1:1">
      <c r="A3015" s="15"/>
    </row>
    <row r="3016" spans="1:1">
      <c r="A3016" s="15"/>
    </row>
    <row r="3017" spans="1:1">
      <c r="A3017" s="15"/>
    </row>
    <row r="3018" spans="1:1">
      <c r="A3018" s="15"/>
    </row>
    <row r="3019" spans="1:1">
      <c r="A3019" s="15"/>
    </row>
    <row r="3020" spans="1:1">
      <c r="A3020" s="15"/>
    </row>
    <row r="3021" spans="1:1">
      <c r="A3021" s="15"/>
    </row>
    <row r="3022" spans="1:1">
      <c r="A3022" s="15"/>
    </row>
    <row r="3023" spans="1:1">
      <c r="A3023" s="15"/>
    </row>
    <row r="3024" spans="1:1">
      <c r="A3024" s="15"/>
    </row>
    <row r="3025" spans="1:1">
      <c r="A3025" s="15"/>
    </row>
    <row r="3026" spans="1:1">
      <c r="A3026" s="15"/>
    </row>
    <row r="3027" spans="1:1">
      <c r="A3027" s="15"/>
    </row>
    <row r="3028" spans="1:1">
      <c r="A3028" s="15"/>
    </row>
    <row r="3029" spans="1:1">
      <c r="A3029" s="15"/>
    </row>
    <row r="3030" spans="1:1">
      <c r="A3030" s="15"/>
    </row>
    <row r="3031" spans="1:1">
      <c r="A3031" s="15"/>
    </row>
    <row r="3032" spans="1:1">
      <c r="A3032" s="15"/>
    </row>
    <row r="3033" spans="1:1">
      <c r="A3033" s="15"/>
    </row>
    <row r="3034" spans="1:1">
      <c r="A3034" s="15"/>
    </row>
    <row r="3035" spans="1:1">
      <c r="A3035" s="15"/>
    </row>
    <row r="3036" spans="1:1">
      <c r="A3036" s="15"/>
    </row>
    <row r="3037" spans="1:1">
      <c r="A3037" s="15"/>
    </row>
    <row r="3038" spans="1:1">
      <c r="A3038" s="15"/>
    </row>
    <row r="3039" spans="1:1">
      <c r="A3039" s="15"/>
    </row>
    <row r="3040" spans="1:1">
      <c r="A3040" s="15"/>
    </row>
    <row r="3041" spans="1:1">
      <c r="A3041" s="15"/>
    </row>
    <row r="3042" spans="1:1">
      <c r="A3042" s="15"/>
    </row>
    <row r="3043" spans="1:1">
      <c r="A3043" s="15"/>
    </row>
    <row r="3044" spans="1:1">
      <c r="A3044" s="15"/>
    </row>
    <row r="3045" spans="1:1">
      <c r="A3045" s="15"/>
    </row>
    <row r="3046" spans="1:1">
      <c r="A3046" s="15"/>
    </row>
    <row r="3047" spans="1:1">
      <c r="A3047" s="15"/>
    </row>
    <row r="3048" spans="1:1">
      <c r="A3048" s="15"/>
    </row>
    <row r="3049" spans="1:1">
      <c r="A3049" s="15"/>
    </row>
    <row r="3050" spans="1:1">
      <c r="A3050" s="15"/>
    </row>
    <row r="3051" spans="1:1">
      <c r="A3051" s="15"/>
    </row>
    <row r="3052" spans="1:1">
      <c r="A3052" s="15"/>
    </row>
    <row r="3053" spans="1:1">
      <c r="A3053" s="15"/>
    </row>
    <row r="3054" spans="1:1">
      <c r="A3054" s="15"/>
    </row>
    <row r="3055" spans="1:1">
      <c r="A3055" s="15"/>
    </row>
    <row r="3056" spans="1:1">
      <c r="A3056" s="15"/>
    </row>
    <row r="3057" spans="1:1">
      <c r="A3057" s="15"/>
    </row>
    <row r="3058" spans="1:1">
      <c r="A3058" s="15"/>
    </row>
    <row r="3059" spans="1:1">
      <c r="A3059" s="15"/>
    </row>
    <row r="3060" spans="1:1">
      <c r="A3060" s="15"/>
    </row>
    <row r="3061" spans="1:1">
      <c r="A3061" s="15"/>
    </row>
    <row r="3062" spans="1:1">
      <c r="A3062" s="15"/>
    </row>
    <row r="3063" spans="1:1">
      <c r="A3063" s="15"/>
    </row>
    <row r="3064" spans="1:1">
      <c r="A3064" s="15"/>
    </row>
    <row r="3065" spans="1:1">
      <c r="A3065" s="15"/>
    </row>
    <row r="3066" spans="1:1">
      <c r="A3066" s="15"/>
    </row>
    <row r="3067" spans="1:1">
      <c r="A3067" s="15"/>
    </row>
    <row r="3068" spans="1:1">
      <c r="A3068" s="15"/>
    </row>
    <row r="3069" spans="1:1">
      <c r="A3069" s="15"/>
    </row>
    <row r="3070" spans="1:1">
      <c r="A3070" s="15"/>
    </row>
    <row r="3071" spans="1:1">
      <c r="A3071" s="15"/>
    </row>
    <row r="3072" spans="1:1">
      <c r="A3072" s="15"/>
    </row>
    <row r="3073" spans="1:1">
      <c r="A3073" s="15"/>
    </row>
    <row r="3074" spans="1:1">
      <c r="A3074" s="15"/>
    </row>
    <row r="3075" spans="1:1">
      <c r="A3075" s="15"/>
    </row>
    <row r="3076" spans="1:1">
      <c r="A3076" s="15"/>
    </row>
    <row r="3077" spans="1:1">
      <c r="A3077" s="15"/>
    </row>
    <row r="3078" spans="1:1">
      <c r="A3078" s="15"/>
    </row>
    <row r="3079" spans="1:1">
      <c r="A3079" s="15"/>
    </row>
    <row r="3080" spans="1:1">
      <c r="A3080" s="15"/>
    </row>
    <row r="3081" spans="1:1">
      <c r="A3081" s="15"/>
    </row>
    <row r="3082" spans="1:1">
      <c r="A3082" s="15"/>
    </row>
    <row r="3083" spans="1:1">
      <c r="A3083" s="15"/>
    </row>
    <row r="3084" spans="1:1">
      <c r="A3084" s="15"/>
    </row>
    <row r="3085" spans="1:1">
      <c r="A3085" s="15"/>
    </row>
    <row r="3086" spans="1:1">
      <c r="A3086" s="15"/>
    </row>
    <row r="3087" spans="1:1">
      <c r="A3087" s="15"/>
    </row>
    <row r="3088" spans="1:1">
      <c r="A3088" s="15"/>
    </row>
    <row r="3089" spans="1:1">
      <c r="A3089" s="15"/>
    </row>
    <row r="3090" spans="1:1">
      <c r="A3090" s="15"/>
    </row>
    <row r="3091" spans="1:1">
      <c r="A3091" s="15"/>
    </row>
    <row r="3092" spans="1:1">
      <c r="A3092" s="15"/>
    </row>
    <row r="3093" spans="1:1">
      <c r="A3093" s="15"/>
    </row>
    <row r="3094" spans="1:1">
      <c r="A3094" s="15"/>
    </row>
    <row r="3095" spans="1:1">
      <c r="A3095" s="15"/>
    </row>
    <row r="3096" spans="1:1">
      <c r="A3096" s="15"/>
    </row>
    <row r="3097" spans="1:1">
      <c r="A3097" s="15"/>
    </row>
    <row r="3098" spans="1:1">
      <c r="A3098" s="15"/>
    </row>
    <row r="3099" spans="1:1">
      <c r="A3099" s="15"/>
    </row>
    <row r="3100" spans="1:1">
      <c r="A3100" s="15"/>
    </row>
    <row r="3101" spans="1:1">
      <c r="A3101" s="15"/>
    </row>
    <row r="3102" spans="1:1">
      <c r="A3102" s="15"/>
    </row>
    <row r="3103" spans="1:1">
      <c r="A3103" s="15"/>
    </row>
    <row r="3104" spans="1:1">
      <c r="A3104" s="15"/>
    </row>
    <row r="3105" spans="1:1">
      <c r="A3105" s="15"/>
    </row>
    <row r="3106" spans="1:1">
      <c r="A3106" s="15"/>
    </row>
    <row r="3107" spans="1:1">
      <c r="A3107" s="15"/>
    </row>
    <row r="3108" spans="1:1">
      <c r="A3108" s="15"/>
    </row>
    <row r="3109" spans="1:1">
      <c r="A3109" s="15"/>
    </row>
    <row r="3110" spans="1:1">
      <c r="A3110" s="15"/>
    </row>
    <row r="3111" spans="1:1">
      <c r="A3111" s="15"/>
    </row>
    <row r="3112" spans="1:1">
      <c r="A3112" s="15"/>
    </row>
    <row r="3113" spans="1:1">
      <c r="A3113" s="15"/>
    </row>
    <row r="3114" spans="1:1">
      <c r="A3114" s="15"/>
    </row>
    <row r="3115" spans="1:1">
      <c r="A3115" s="15"/>
    </row>
    <row r="3116" spans="1:1">
      <c r="A3116" s="15"/>
    </row>
    <row r="3117" spans="1:1">
      <c r="A3117" s="15"/>
    </row>
    <row r="3118" spans="1:1">
      <c r="A3118" s="15"/>
    </row>
    <row r="3119" spans="1:1">
      <c r="A3119" s="15"/>
    </row>
    <row r="3120" spans="1:1">
      <c r="A3120" s="15"/>
    </row>
    <row r="3121" spans="1:1">
      <c r="A3121" s="15"/>
    </row>
    <row r="3122" spans="1:1">
      <c r="A3122" s="15"/>
    </row>
    <row r="3123" spans="1:1">
      <c r="A3123" s="15"/>
    </row>
    <row r="3124" spans="1:1">
      <c r="A3124" s="15"/>
    </row>
    <row r="3125" spans="1:1">
      <c r="A3125" s="15"/>
    </row>
    <row r="3126" spans="1:1">
      <c r="A3126" s="15"/>
    </row>
    <row r="3127" spans="1:1">
      <c r="A3127" s="15"/>
    </row>
    <row r="3128" spans="1:1">
      <c r="A3128" s="15"/>
    </row>
    <row r="3129" spans="1:1">
      <c r="A3129" s="15"/>
    </row>
    <row r="3130" spans="1:1">
      <c r="A3130" s="15"/>
    </row>
    <row r="3131" spans="1:1">
      <c r="A3131" s="15"/>
    </row>
    <row r="3132" spans="1:1">
      <c r="A3132" s="15"/>
    </row>
    <row r="3133" spans="1:1">
      <c r="A3133" s="15"/>
    </row>
    <row r="3134" spans="1:1">
      <c r="A3134" s="15"/>
    </row>
    <row r="3135" spans="1:1">
      <c r="A3135" s="15"/>
    </row>
    <row r="3136" spans="1:1">
      <c r="A3136" s="15"/>
    </row>
    <row r="3137" spans="1:1">
      <c r="A3137" s="15"/>
    </row>
    <row r="3138" spans="1:1">
      <c r="A3138" s="15"/>
    </row>
    <row r="3139" spans="1:1">
      <c r="A3139" s="15"/>
    </row>
    <row r="3140" spans="1:1">
      <c r="A3140" s="15"/>
    </row>
    <row r="3141" spans="1:1">
      <c r="A3141" s="15"/>
    </row>
    <row r="3142" spans="1:1">
      <c r="A3142" s="15"/>
    </row>
    <row r="3143" spans="1:1">
      <c r="A3143" s="15"/>
    </row>
    <row r="3144" spans="1:1">
      <c r="A3144" s="15"/>
    </row>
    <row r="3145" spans="1:1">
      <c r="A3145" s="15"/>
    </row>
    <row r="3146" spans="1:1">
      <c r="A3146" s="15"/>
    </row>
    <row r="3147" spans="1:1">
      <c r="A3147" s="15"/>
    </row>
    <row r="3148" spans="1:1">
      <c r="A3148" s="15"/>
    </row>
    <row r="3149" spans="1:1">
      <c r="A3149" s="15"/>
    </row>
    <row r="3150" spans="1:1">
      <c r="A3150" s="15"/>
    </row>
    <row r="3151" spans="1:1">
      <c r="A3151" s="15"/>
    </row>
    <row r="3152" spans="1:1">
      <c r="A3152" s="15"/>
    </row>
    <row r="3153" spans="1:1">
      <c r="A3153" s="15"/>
    </row>
    <row r="3154" spans="1:1">
      <c r="A3154" s="15"/>
    </row>
    <row r="3155" spans="1:1">
      <c r="A3155" s="15"/>
    </row>
    <row r="3156" spans="1:1">
      <c r="A3156" s="15"/>
    </row>
    <row r="3157" spans="1:1">
      <c r="A3157" s="15"/>
    </row>
    <row r="3158" spans="1:1">
      <c r="A3158" s="15"/>
    </row>
    <row r="3159" spans="1:1">
      <c r="A3159" s="15"/>
    </row>
    <row r="3160" spans="1:1">
      <c r="A3160" s="15"/>
    </row>
    <row r="3161" spans="1:1">
      <c r="A3161" s="15"/>
    </row>
    <row r="3162" spans="1:1">
      <c r="A3162" s="15"/>
    </row>
    <row r="3163" spans="1:1">
      <c r="A3163" s="15"/>
    </row>
    <row r="3164" spans="1:1">
      <c r="A3164" s="15"/>
    </row>
    <row r="3165" spans="1:1">
      <c r="A3165" s="15"/>
    </row>
    <row r="3166" spans="1:1">
      <c r="A3166" s="15"/>
    </row>
    <row r="3167" spans="1:1">
      <c r="A3167" s="15"/>
    </row>
    <row r="3168" spans="1:1">
      <c r="A3168" s="15"/>
    </row>
    <row r="3169" spans="1:1">
      <c r="A3169" s="15"/>
    </row>
    <row r="3170" spans="1:1">
      <c r="A3170" s="15"/>
    </row>
    <row r="3171" spans="1:1">
      <c r="A3171" s="15"/>
    </row>
    <row r="3172" spans="1:1">
      <c r="A3172" s="15"/>
    </row>
    <row r="3173" spans="1:1">
      <c r="A3173" s="15"/>
    </row>
    <row r="3174" spans="1:1">
      <c r="A3174" s="15"/>
    </row>
    <row r="3175" spans="1:1">
      <c r="A3175" s="15"/>
    </row>
    <row r="3176" spans="1:1">
      <c r="A3176" s="15"/>
    </row>
    <row r="3177" spans="1:1">
      <c r="A3177" s="15"/>
    </row>
    <row r="3178" spans="1:1">
      <c r="A3178" s="15"/>
    </row>
    <row r="3179" spans="1:1">
      <c r="A3179" s="15"/>
    </row>
    <row r="3180" spans="1:1">
      <c r="A3180" s="15"/>
    </row>
    <row r="3181" spans="1:1">
      <c r="A3181" s="15"/>
    </row>
    <row r="3182" spans="1:1">
      <c r="A3182" s="15"/>
    </row>
    <row r="3183" spans="1:1">
      <c r="A3183" s="15"/>
    </row>
    <row r="3184" spans="1:1">
      <c r="A3184" s="15"/>
    </row>
    <row r="3185" spans="1:1">
      <c r="A3185" s="15"/>
    </row>
    <row r="3186" spans="1:1">
      <c r="A3186" s="15"/>
    </row>
    <row r="3187" spans="1:1">
      <c r="A3187" s="15"/>
    </row>
    <row r="3188" spans="1:1">
      <c r="A3188" s="15"/>
    </row>
    <row r="3189" spans="1:1">
      <c r="A3189" s="15"/>
    </row>
    <row r="3190" spans="1:1">
      <c r="A3190" s="15"/>
    </row>
    <row r="3191" spans="1:1">
      <c r="A3191" s="15"/>
    </row>
    <row r="3192" spans="1:1">
      <c r="A3192" s="15"/>
    </row>
    <row r="3193" spans="1:1">
      <c r="A3193" s="15"/>
    </row>
    <row r="3194" spans="1:1">
      <c r="A3194" s="15"/>
    </row>
    <row r="3195" spans="1:1">
      <c r="A3195" s="15"/>
    </row>
    <row r="3196" spans="1:1">
      <c r="A3196" s="15"/>
    </row>
    <row r="3197" spans="1:1">
      <c r="A3197" s="15"/>
    </row>
    <row r="3198" spans="1:1">
      <c r="A3198" s="15"/>
    </row>
    <row r="3199" spans="1:1">
      <c r="A3199" s="15"/>
    </row>
    <row r="3200" spans="1:1">
      <c r="A3200" s="15"/>
    </row>
    <row r="3201" spans="1:1">
      <c r="A3201" s="15"/>
    </row>
    <row r="3202" spans="1:1">
      <c r="A3202" s="15"/>
    </row>
    <row r="3203" spans="1:1">
      <c r="A3203" s="15"/>
    </row>
    <row r="3204" spans="1:1">
      <c r="A3204" s="15"/>
    </row>
    <row r="3205" spans="1:1">
      <c r="A3205" s="15"/>
    </row>
    <row r="3206" spans="1:1">
      <c r="A3206" s="15"/>
    </row>
    <row r="3207" spans="1:1">
      <c r="A3207" s="15"/>
    </row>
    <row r="3208" spans="1:1">
      <c r="A3208" s="15"/>
    </row>
    <row r="3209" spans="1:1">
      <c r="A3209" s="15"/>
    </row>
    <row r="3210" spans="1:1">
      <c r="A3210" s="15"/>
    </row>
    <row r="3211" spans="1:1">
      <c r="A3211" s="15"/>
    </row>
    <row r="3212" spans="1:1">
      <c r="A3212" s="15"/>
    </row>
    <row r="3213" spans="1:1">
      <c r="A3213" s="15"/>
    </row>
    <row r="3214" spans="1:1">
      <c r="A3214" s="15"/>
    </row>
    <row r="3215" spans="1:1">
      <c r="A3215" s="15"/>
    </row>
    <row r="3216" spans="1:1">
      <c r="A3216" s="15"/>
    </row>
    <row r="3217" spans="1:1">
      <c r="A3217" s="15"/>
    </row>
    <row r="3218" spans="1:1">
      <c r="A3218" s="15"/>
    </row>
    <row r="3219" spans="1:1">
      <c r="A3219" s="15"/>
    </row>
    <row r="3220" spans="1:1">
      <c r="A3220" s="15"/>
    </row>
    <row r="3221" spans="1:1">
      <c r="A3221" s="15"/>
    </row>
    <row r="3222" spans="1:1">
      <c r="A3222" s="15"/>
    </row>
    <row r="3223" spans="1:1">
      <c r="A3223" s="15"/>
    </row>
    <row r="3224" spans="1:1">
      <c r="A3224" s="15"/>
    </row>
    <row r="3225" spans="1:1">
      <c r="A3225" s="15"/>
    </row>
    <row r="3226" spans="1:1">
      <c r="A3226" s="15"/>
    </row>
    <row r="3227" spans="1:1">
      <c r="A3227" s="15"/>
    </row>
    <row r="3228" spans="1:1">
      <c r="A3228" s="15"/>
    </row>
    <row r="3229" spans="1:1">
      <c r="A3229" s="15"/>
    </row>
    <row r="3230" spans="1:1">
      <c r="A3230" s="15"/>
    </row>
    <row r="3231" spans="1:1">
      <c r="A3231" s="15"/>
    </row>
    <row r="3232" spans="1:1">
      <c r="A3232" s="15"/>
    </row>
    <row r="3233" spans="1:1">
      <c r="A3233" s="15"/>
    </row>
    <row r="3234" spans="1:1">
      <c r="A3234" s="15"/>
    </row>
    <row r="3235" spans="1:1">
      <c r="A3235" s="15"/>
    </row>
    <row r="3236" spans="1:1">
      <c r="A3236" s="15"/>
    </row>
    <row r="3237" spans="1:1">
      <c r="A3237" s="15"/>
    </row>
    <row r="3238" spans="1:1">
      <c r="A3238" s="15"/>
    </row>
    <row r="3239" spans="1:1">
      <c r="A3239" s="15"/>
    </row>
    <row r="3240" spans="1:1">
      <c r="A3240" s="15"/>
    </row>
    <row r="3241" spans="1:1">
      <c r="A3241" s="15"/>
    </row>
    <row r="3242" spans="1:1">
      <c r="A3242" s="15"/>
    </row>
    <row r="3243" spans="1:1">
      <c r="A3243" s="15"/>
    </row>
    <row r="3244" spans="1:1">
      <c r="A3244" s="15"/>
    </row>
    <row r="3245" spans="1:1">
      <c r="A3245" s="15"/>
    </row>
    <row r="3246" spans="1:1">
      <c r="A3246" s="15"/>
    </row>
    <row r="3247" spans="1:1">
      <c r="A3247" s="15"/>
    </row>
    <row r="3248" spans="1:1">
      <c r="A3248" s="15"/>
    </row>
    <row r="3249" spans="1:1">
      <c r="A3249" s="15"/>
    </row>
    <row r="3250" spans="1:1">
      <c r="A3250" s="15"/>
    </row>
    <row r="3251" spans="1:1">
      <c r="A3251" s="15"/>
    </row>
    <row r="3252" spans="1:1">
      <c r="A3252" s="15"/>
    </row>
    <row r="3253" spans="1:1">
      <c r="A3253" s="15"/>
    </row>
    <row r="3254" spans="1:1">
      <c r="A3254" s="15"/>
    </row>
    <row r="3255" spans="1:1">
      <c r="A3255" s="15"/>
    </row>
    <row r="3256" spans="1:1">
      <c r="A3256" s="15"/>
    </row>
    <row r="3257" spans="1:1">
      <c r="A3257" s="15"/>
    </row>
    <row r="3258" spans="1:1">
      <c r="A3258" s="15"/>
    </row>
    <row r="3259" spans="1:1">
      <c r="A3259" s="15"/>
    </row>
    <row r="3260" spans="1:1">
      <c r="A3260" s="15"/>
    </row>
    <row r="3261" spans="1:1">
      <c r="A3261" s="15"/>
    </row>
    <row r="3262" spans="1:1">
      <c r="A3262" s="15"/>
    </row>
    <row r="3263" spans="1:1">
      <c r="A3263" s="15"/>
    </row>
    <row r="3264" spans="1:1">
      <c r="A3264" s="15"/>
    </row>
    <row r="3265" spans="1:1">
      <c r="A3265" s="15"/>
    </row>
    <row r="3266" spans="1:1">
      <c r="A3266" s="15"/>
    </row>
    <row r="3267" spans="1:1">
      <c r="A3267" s="15"/>
    </row>
    <row r="3268" spans="1:1">
      <c r="A3268" s="15"/>
    </row>
    <row r="3269" spans="1:1">
      <c r="A3269" s="15"/>
    </row>
    <row r="3270" spans="1:1">
      <c r="A3270" s="15"/>
    </row>
    <row r="3271" spans="1:1">
      <c r="A3271" s="15"/>
    </row>
    <row r="3272" spans="1:1">
      <c r="A3272" s="15"/>
    </row>
    <row r="3273" spans="1:1">
      <c r="A3273" s="15"/>
    </row>
    <row r="3274" spans="1:1">
      <c r="A3274" s="15"/>
    </row>
    <row r="3275" spans="1:1">
      <c r="A3275" s="15"/>
    </row>
    <row r="3276" spans="1:1">
      <c r="A3276" s="15"/>
    </row>
    <row r="3277" spans="1:1">
      <c r="A3277" s="15"/>
    </row>
    <row r="3278" spans="1:1">
      <c r="A3278" s="15"/>
    </row>
    <row r="3279" spans="1:1">
      <c r="A3279" s="15"/>
    </row>
    <row r="3280" spans="1:1">
      <c r="A3280" s="15"/>
    </row>
    <row r="3281" spans="1:1">
      <c r="A3281" s="15"/>
    </row>
    <row r="3282" spans="1:1">
      <c r="A3282" s="15"/>
    </row>
    <row r="3283" spans="1:1">
      <c r="A3283" s="15"/>
    </row>
    <row r="3284" spans="1:1">
      <c r="A3284" s="15"/>
    </row>
    <row r="3285" spans="1:1">
      <c r="A3285" s="15"/>
    </row>
    <row r="3286" spans="1:1">
      <c r="A3286" s="15"/>
    </row>
    <row r="3287" spans="1:1">
      <c r="A3287" s="15"/>
    </row>
    <row r="3288" spans="1:1">
      <c r="A3288" s="15"/>
    </row>
    <row r="3289" spans="1:1">
      <c r="A3289" s="15"/>
    </row>
    <row r="3290" spans="1:1">
      <c r="A3290" s="15"/>
    </row>
    <row r="3291" spans="1:1">
      <c r="A3291" s="15"/>
    </row>
    <row r="3292" spans="1:1">
      <c r="A3292" s="15"/>
    </row>
    <row r="3293" spans="1:1">
      <c r="A3293" s="15"/>
    </row>
    <row r="3294" spans="1:1">
      <c r="A3294" s="15"/>
    </row>
    <row r="3295" spans="1:1">
      <c r="A3295" s="15"/>
    </row>
    <row r="3296" spans="1:1">
      <c r="A3296" s="15"/>
    </row>
    <row r="3297" spans="1:1">
      <c r="A3297" s="15"/>
    </row>
    <row r="3298" spans="1:1">
      <c r="A3298" s="15"/>
    </row>
    <row r="3299" spans="1:1">
      <c r="A3299" s="15"/>
    </row>
    <row r="3300" spans="1:1">
      <c r="A3300" s="15"/>
    </row>
    <row r="3301" spans="1:1">
      <c r="A3301" s="15"/>
    </row>
    <row r="3302" spans="1:1">
      <c r="A3302" s="15"/>
    </row>
    <row r="3303" spans="1:1">
      <c r="A3303" s="15"/>
    </row>
    <row r="3304" spans="1:1">
      <c r="A3304" s="15"/>
    </row>
    <row r="3305" spans="1:1">
      <c r="A3305" s="15"/>
    </row>
    <row r="3306" spans="1:1">
      <c r="A3306" s="15"/>
    </row>
    <row r="3307" spans="1:1">
      <c r="A3307" s="15"/>
    </row>
    <row r="3308" spans="1:1">
      <c r="A3308" s="15"/>
    </row>
    <row r="3309" spans="1:1">
      <c r="A3309" s="15"/>
    </row>
    <row r="3310" spans="1:1">
      <c r="A3310" s="15"/>
    </row>
    <row r="3311" spans="1:1">
      <c r="A3311" s="15"/>
    </row>
    <row r="3312" spans="1:1">
      <c r="A3312" s="15"/>
    </row>
    <row r="3313" spans="1:1">
      <c r="A3313" s="15"/>
    </row>
    <row r="3314" spans="1:1">
      <c r="A3314" s="15"/>
    </row>
    <row r="3315" spans="1:1">
      <c r="A3315" s="15"/>
    </row>
    <row r="3316" spans="1:1">
      <c r="A3316" s="15"/>
    </row>
    <row r="3317" spans="1:1">
      <c r="A3317" s="15"/>
    </row>
    <row r="3318" spans="1:1">
      <c r="A3318" s="15"/>
    </row>
    <row r="3319" spans="1:1">
      <c r="A3319" s="15"/>
    </row>
    <row r="3320" spans="1:1">
      <c r="A3320" s="15"/>
    </row>
    <row r="3321" spans="1:1">
      <c r="A3321" s="15"/>
    </row>
    <row r="3322" spans="1:1">
      <c r="A3322" s="15"/>
    </row>
    <row r="3323" spans="1:1">
      <c r="A3323" s="15"/>
    </row>
    <row r="3324" spans="1:1">
      <c r="A3324" s="15"/>
    </row>
    <row r="3325" spans="1:1">
      <c r="A3325" s="15"/>
    </row>
    <row r="3326" spans="1:1">
      <c r="A3326" s="15"/>
    </row>
    <row r="3327" spans="1:1">
      <c r="A3327" s="15"/>
    </row>
    <row r="3328" spans="1:1">
      <c r="A3328" s="15"/>
    </row>
    <row r="3329" spans="1:1">
      <c r="A3329" s="15"/>
    </row>
    <row r="3330" spans="1:1">
      <c r="A3330" s="15"/>
    </row>
    <row r="3331" spans="1:1">
      <c r="A3331" s="15"/>
    </row>
    <row r="3332" spans="1:1">
      <c r="A3332" s="15"/>
    </row>
    <row r="3333" spans="1:1">
      <c r="A3333" s="15"/>
    </row>
    <row r="3334" spans="1:1">
      <c r="A3334" s="15"/>
    </row>
    <row r="3335" spans="1:1">
      <c r="A3335" s="15"/>
    </row>
    <row r="3336" spans="1:1">
      <c r="A3336" s="15"/>
    </row>
    <row r="3337" spans="1:1">
      <c r="A3337" s="15"/>
    </row>
    <row r="3338" spans="1:1">
      <c r="A3338" s="15"/>
    </row>
    <row r="3339" spans="1:1">
      <c r="A3339" s="15"/>
    </row>
    <row r="3340" spans="1:1">
      <c r="A3340" s="15"/>
    </row>
    <row r="3341" spans="1:1">
      <c r="A3341" s="15"/>
    </row>
    <row r="3342" spans="1:1">
      <c r="A3342" s="15"/>
    </row>
    <row r="3343" spans="1:1">
      <c r="A3343" s="15"/>
    </row>
    <row r="3344" spans="1:1">
      <c r="A3344" s="15"/>
    </row>
    <row r="3345" spans="1:1">
      <c r="A3345" s="15"/>
    </row>
    <row r="3346" spans="1:1">
      <c r="A3346" s="15"/>
    </row>
    <row r="3347" spans="1:1">
      <c r="A3347" s="15"/>
    </row>
    <row r="3348" spans="1:1">
      <c r="A3348" s="15"/>
    </row>
    <row r="3349" spans="1:1">
      <c r="A3349" s="15"/>
    </row>
    <row r="3350" spans="1:1">
      <c r="A3350" s="15"/>
    </row>
    <row r="3351" spans="1:1">
      <c r="A3351" s="15"/>
    </row>
    <row r="3352" spans="1:1">
      <c r="A3352" s="15"/>
    </row>
    <row r="3353" spans="1:1">
      <c r="A3353" s="15"/>
    </row>
    <row r="3354" spans="1:1">
      <c r="A3354" s="15"/>
    </row>
    <row r="3355" spans="1:1">
      <c r="A3355" s="15"/>
    </row>
    <row r="3356" spans="1:1">
      <c r="A3356" s="15"/>
    </row>
    <row r="3357" spans="1:1">
      <c r="A3357" s="15"/>
    </row>
    <row r="3358" spans="1:1">
      <c r="A3358" s="15"/>
    </row>
    <row r="3359" spans="1:1">
      <c r="A3359" s="15"/>
    </row>
    <row r="3360" spans="1:1">
      <c r="A3360" s="15"/>
    </row>
    <row r="3361" spans="1:1">
      <c r="A3361" s="15"/>
    </row>
    <row r="3362" spans="1:1">
      <c r="A3362" s="15"/>
    </row>
    <row r="3363" spans="1:1">
      <c r="A3363" s="15"/>
    </row>
    <row r="3364" spans="1:1">
      <c r="A3364" s="15"/>
    </row>
    <row r="3365" spans="1:1">
      <c r="A3365" s="15"/>
    </row>
    <row r="3366" spans="1:1">
      <c r="A3366" s="15"/>
    </row>
    <row r="3367" spans="1:1">
      <c r="A3367" s="15"/>
    </row>
    <row r="3368" spans="1:1">
      <c r="A3368" s="15"/>
    </row>
    <row r="3369" spans="1:1">
      <c r="A3369" s="15"/>
    </row>
    <row r="3370" spans="1:1">
      <c r="A3370" s="15"/>
    </row>
    <row r="3371" spans="1:1">
      <c r="A3371" s="15"/>
    </row>
    <row r="3372" spans="1:1">
      <c r="A3372" s="15"/>
    </row>
    <row r="3373" spans="1:1">
      <c r="A3373" s="15"/>
    </row>
    <row r="3374" spans="1:1">
      <c r="A3374" s="15"/>
    </row>
    <row r="3375" spans="1:1">
      <c r="A3375" s="15"/>
    </row>
    <row r="3376" spans="1:1">
      <c r="A3376" s="15"/>
    </row>
    <row r="3377" spans="1:1">
      <c r="A3377" s="15"/>
    </row>
    <row r="3378" spans="1:1">
      <c r="A3378" s="15"/>
    </row>
    <row r="3379" spans="1:1">
      <c r="A3379" s="15"/>
    </row>
    <row r="3380" spans="1:1">
      <c r="A3380" s="15"/>
    </row>
    <row r="3381" spans="1:1">
      <c r="A3381" s="15"/>
    </row>
    <row r="3382" spans="1:1">
      <c r="A3382" s="15"/>
    </row>
    <row r="3383" spans="1:1">
      <c r="A3383" s="15"/>
    </row>
    <row r="3384" spans="1:1">
      <c r="A3384" s="15"/>
    </row>
    <row r="3385" spans="1:1">
      <c r="A3385" s="15"/>
    </row>
    <row r="3386" spans="1:1">
      <c r="A3386" s="15"/>
    </row>
    <row r="3387" spans="1:1">
      <c r="A3387" s="15"/>
    </row>
    <row r="3388" spans="1:1">
      <c r="A3388" s="15"/>
    </row>
    <row r="3389" spans="1:1">
      <c r="A3389" s="15"/>
    </row>
    <row r="3390" spans="1:1">
      <c r="A3390" s="15"/>
    </row>
    <row r="3391" spans="1:1">
      <c r="A3391" s="15"/>
    </row>
    <row r="3392" spans="1:1">
      <c r="A3392" s="15"/>
    </row>
    <row r="3393" spans="1:1">
      <c r="A3393" s="15"/>
    </row>
    <row r="3394" spans="1:1">
      <c r="A3394" s="15"/>
    </row>
    <row r="3395" spans="1:1">
      <c r="A3395" s="15"/>
    </row>
    <row r="3396" spans="1:1">
      <c r="A3396" s="15"/>
    </row>
    <row r="3397" spans="1:1">
      <c r="A3397" s="15"/>
    </row>
    <row r="3398" spans="1:1">
      <c r="A3398" s="15"/>
    </row>
    <row r="3399" spans="1:1">
      <c r="A3399" s="15"/>
    </row>
    <row r="3400" spans="1:1">
      <c r="A3400" s="15"/>
    </row>
    <row r="3401" spans="1:1">
      <c r="A3401" s="15"/>
    </row>
    <row r="3402" spans="1:1">
      <c r="A3402" s="15"/>
    </row>
    <row r="3403" spans="1:1">
      <c r="A3403" s="15"/>
    </row>
    <row r="3404" spans="1:1">
      <c r="A3404" s="15"/>
    </row>
    <row r="3405" spans="1:1">
      <c r="A3405" s="15"/>
    </row>
    <row r="3406" spans="1:1">
      <c r="A3406" s="15"/>
    </row>
    <row r="3407" spans="1:1">
      <c r="A3407" s="15"/>
    </row>
    <row r="3408" spans="1:1">
      <c r="A3408" s="15"/>
    </row>
    <row r="3409" spans="1:1">
      <c r="A3409" s="15"/>
    </row>
    <row r="3410" spans="1:1">
      <c r="A3410" s="15"/>
    </row>
    <row r="3411" spans="1:1">
      <c r="A3411" s="15"/>
    </row>
    <row r="3412" spans="1:1">
      <c r="A3412" s="15"/>
    </row>
    <row r="3413" spans="1:1">
      <c r="A3413" s="15"/>
    </row>
    <row r="3414" spans="1:1">
      <c r="A3414" s="15"/>
    </row>
    <row r="3415" spans="1:1">
      <c r="A3415" s="15"/>
    </row>
    <row r="3416" spans="1:1">
      <c r="A3416" s="15"/>
    </row>
    <row r="3417" spans="1:1">
      <c r="A3417" s="15"/>
    </row>
    <row r="3418" spans="1:1">
      <c r="A3418" s="15"/>
    </row>
    <row r="3419" spans="1:1">
      <c r="A3419" s="15"/>
    </row>
    <row r="3420" spans="1:1">
      <c r="A3420" s="15"/>
    </row>
    <row r="3421" spans="1:1">
      <c r="A3421" s="15"/>
    </row>
    <row r="3422" spans="1:1">
      <c r="A3422" s="15"/>
    </row>
    <row r="3423" spans="1:1">
      <c r="A3423" s="15"/>
    </row>
    <row r="3424" spans="1:1">
      <c r="A3424" s="15"/>
    </row>
    <row r="3425" spans="1:1">
      <c r="A3425" s="15"/>
    </row>
    <row r="3426" spans="1:1">
      <c r="A3426" s="15"/>
    </row>
    <row r="3427" spans="1:1">
      <c r="A3427" s="15"/>
    </row>
    <row r="3428" spans="1:1">
      <c r="A3428" s="15"/>
    </row>
    <row r="3429" spans="1:1">
      <c r="A3429" s="15"/>
    </row>
    <row r="3430" spans="1:1">
      <c r="A3430" s="15"/>
    </row>
    <row r="3431" spans="1:1">
      <c r="A3431" s="15"/>
    </row>
    <row r="3432" spans="1:1">
      <c r="A3432" s="15"/>
    </row>
    <row r="3433" spans="1:1">
      <c r="A3433" s="15"/>
    </row>
    <row r="3434" spans="1:1">
      <c r="A3434" s="15"/>
    </row>
    <row r="3435" spans="1:1">
      <c r="A3435" s="15"/>
    </row>
    <row r="3436" spans="1:1">
      <c r="A3436" s="15"/>
    </row>
    <row r="3437" spans="1:1">
      <c r="A3437" s="15"/>
    </row>
    <row r="3438" spans="1:1">
      <c r="A3438" s="15"/>
    </row>
    <row r="3439" spans="1:1">
      <c r="A3439" s="15"/>
    </row>
    <row r="3440" spans="1:1">
      <c r="A3440" s="15"/>
    </row>
    <row r="3441" spans="1:1">
      <c r="A3441" s="15"/>
    </row>
    <row r="3442" spans="1:1">
      <c r="A3442" s="15"/>
    </row>
    <row r="3443" spans="1:1">
      <c r="A3443" s="15"/>
    </row>
    <row r="3444" spans="1:1">
      <c r="A3444" s="15"/>
    </row>
    <row r="3445" spans="1:1">
      <c r="A3445" s="15"/>
    </row>
    <row r="3446" spans="1:1">
      <c r="A3446" s="15"/>
    </row>
    <row r="3447" spans="1:1">
      <c r="A3447" s="15"/>
    </row>
    <row r="3448" spans="1:1">
      <c r="A3448" s="15"/>
    </row>
    <row r="3449" spans="1:1">
      <c r="A3449" s="15"/>
    </row>
    <row r="3450" spans="1:1">
      <c r="A3450" s="15"/>
    </row>
    <row r="3451" spans="1:1">
      <c r="A3451" s="15"/>
    </row>
    <row r="3452" spans="1:1">
      <c r="A3452" s="15"/>
    </row>
    <row r="3453" spans="1:1">
      <c r="A3453" s="15"/>
    </row>
    <row r="3454" spans="1:1">
      <c r="A3454" s="15"/>
    </row>
    <row r="3455" spans="1:1">
      <c r="A3455" s="15"/>
    </row>
    <row r="3456" spans="1:1">
      <c r="A3456" s="15"/>
    </row>
    <row r="3457" spans="1:1">
      <c r="A3457" s="15"/>
    </row>
    <row r="3458" spans="1:1">
      <c r="A3458" s="15"/>
    </row>
    <row r="3459" spans="1:1">
      <c r="A3459" s="15"/>
    </row>
    <row r="3460" spans="1:1">
      <c r="A3460" s="15"/>
    </row>
    <row r="3461" spans="1:1">
      <c r="A3461" s="15"/>
    </row>
    <row r="3462" spans="1:1">
      <c r="A3462" s="15"/>
    </row>
    <row r="3463" spans="1:1">
      <c r="A3463" s="15"/>
    </row>
    <row r="3464" spans="1:1">
      <c r="A3464" s="15"/>
    </row>
    <row r="3465" spans="1:1">
      <c r="A3465" s="15"/>
    </row>
    <row r="3466" spans="1:1">
      <c r="A3466" s="15"/>
    </row>
    <row r="3467" spans="1:1">
      <c r="A3467" s="15"/>
    </row>
    <row r="3468" spans="1:1">
      <c r="A3468" s="15"/>
    </row>
    <row r="3469" spans="1:1">
      <c r="A3469" s="15"/>
    </row>
    <row r="3470" spans="1:1">
      <c r="A3470" s="15"/>
    </row>
    <row r="3471" spans="1:1">
      <c r="A3471" s="15"/>
    </row>
    <row r="3472" spans="1:1">
      <c r="A3472" s="15"/>
    </row>
    <row r="3473" spans="1:1">
      <c r="A3473" s="15"/>
    </row>
    <row r="3474" spans="1:1">
      <c r="A3474" s="15"/>
    </row>
    <row r="3475" spans="1:1">
      <c r="A3475" s="15"/>
    </row>
    <row r="3476" spans="1:1">
      <c r="A3476" s="15"/>
    </row>
    <row r="3477" spans="1:1">
      <c r="A3477" s="15"/>
    </row>
    <row r="3478" spans="1:1">
      <c r="A3478" s="15"/>
    </row>
    <row r="3479" spans="1:1">
      <c r="A3479" s="15"/>
    </row>
    <row r="3480" spans="1:1">
      <c r="A3480" s="15"/>
    </row>
    <row r="3481" spans="1:1">
      <c r="A3481" s="15"/>
    </row>
    <row r="3482" spans="1:1">
      <c r="A3482" s="15"/>
    </row>
    <row r="3483" spans="1:1">
      <c r="A3483" s="15"/>
    </row>
    <row r="3484" spans="1:1">
      <c r="A3484" s="15"/>
    </row>
    <row r="3485" spans="1:1">
      <c r="A3485" s="15"/>
    </row>
    <row r="3486" spans="1:1">
      <c r="A3486" s="15"/>
    </row>
    <row r="3487" spans="1:1">
      <c r="A3487" s="15"/>
    </row>
    <row r="3488" spans="1:1">
      <c r="A3488" s="15"/>
    </row>
    <row r="3489" spans="1:1">
      <c r="A3489" s="15"/>
    </row>
    <row r="3490" spans="1:1">
      <c r="A3490" s="15"/>
    </row>
    <row r="3491" spans="1:1">
      <c r="A3491" s="15"/>
    </row>
    <row r="3492" spans="1:1">
      <c r="A3492" s="15"/>
    </row>
    <row r="3493" spans="1:1">
      <c r="A3493" s="15"/>
    </row>
    <row r="3494" spans="1:1">
      <c r="A3494" s="15"/>
    </row>
    <row r="3495" spans="1:1">
      <c r="A3495" s="15"/>
    </row>
    <row r="3496" spans="1:1">
      <c r="A3496" s="15"/>
    </row>
    <row r="3497" spans="1:1">
      <c r="A3497" s="15"/>
    </row>
    <row r="3498" spans="1:1">
      <c r="A3498" s="15"/>
    </row>
    <row r="3499" spans="1:1">
      <c r="A3499" s="15"/>
    </row>
    <row r="3500" spans="1:1">
      <c r="A3500" s="15"/>
    </row>
    <row r="3501" spans="1:1">
      <c r="A3501" s="15"/>
    </row>
    <row r="3502" spans="1:1">
      <c r="A3502" s="15"/>
    </row>
    <row r="3503" spans="1:1">
      <c r="A3503" s="15"/>
    </row>
    <row r="3504" spans="1:1">
      <c r="A3504" s="15"/>
    </row>
    <row r="3505" spans="1:1">
      <c r="A3505" s="15"/>
    </row>
    <row r="3506" spans="1:1">
      <c r="A3506" s="15"/>
    </row>
    <row r="3507" spans="1:1">
      <c r="A3507" s="15"/>
    </row>
    <row r="3508" spans="1:1">
      <c r="A3508" s="15"/>
    </row>
    <row r="3509" spans="1:1">
      <c r="A3509" s="15"/>
    </row>
    <row r="3510" spans="1:1">
      <c r="A3510" s="15"/>
    </row>
    <row r="3511" spans="1:1">
      <c r="A3511" s="15"/>
    </row>
    <row r="3512" spans="1:1">
      <c r="A3512" s="15"/>
    </row>
    <row r="3513" spans="1:1">
      <c r="A3513" s="15"/>
    </row>
    <row r="3514" spans="1:1">
      <c r="A3514" s="15"/>
    </row>
    <row r="3515" spans="1:1">
      <c r="A3515" s="15"/>
    </row>
    <row r="3516" spans="1:1">
      <c r="A3516" s="15"/>
    </row>
    <row r="3517" spans="1:1">
      <c r="A3517" s="15"/>
    </row>
    <row r="3518" spans="1:1">
      <c r="A3518" s="15"/>
    </row>
    <row r="3519" spans="1:1">
      <c r="A3519" s="15"/>
    </row>
    <row r="3520" spans="1:1">
      <c r="A3520" s="15"/>
    </row>
    <row r="3521" spans="1:1">
      <c r="A3521" s="15"/>
    </row>
    <row r="3522" spans="1:1">
      <c r="A3522" s="15"/>
    </row>
    <row r="3523" spans="1:1">
      <c r="A3523" s="15"/>
    </row>
    <row r="3524" spans="1:1">
      <c r="A3524" s="15"/>
    </row>
    <row r="3525" spans="1:1">
      <c r="A3525" s="15"/>
    </row>
    <row r="3526" spans="1:1">
      <c r="A3526" s="15"/>
    </row>
    <row r="3527" spans="1:1">
      <c r="A3527" s="15"/>
    </row>
    <row r="3528" spans="1:1">
      <c r="A3528" s="15"/>
    </row>
    <row r="3529" spans="1:1">
      <c r="A3529" s="15"/>
    </row>
    <row r="3530" spans="1:1">
      <c r="A3530" s="15"/>
    </row>
    <row r="3531" spans="1:1">
      <c r="A3531" s="15"/>
    </row>
    <row r="3532" spans="1:1">
      <c r="A3532" s="15"/>
    </row>
    <row r="3533" spans="1:1">
      <c r="A3533" s="15"/>
    </row>
    <row r="3534" spans="1:1">
      <c r="A3534" s="15"/>
    </row>
    <row r="3535" spans="1:1">
      <c r="A3535" s="15"/>
    </row>
    <row r="3536" spans="1:1">
      <c r="A3536" s="15"/>
    </row>
    <row r="3537" spans="1:1">
      <c r="A3537" s="15"/>
    </row>
    <row r="3538" spans="1:1">
      <c r="A3538" s="15"/>
    </row>
    <row r="3539" spans="1:1">
      <c r="A3539" s="15"/>
    </row>
    <row r="3540" spans="1:1">
      <c r="A3540" s="15"/>
    </row>
    <row r="3541" spans="1:1">
      <c r="A3541" s="15"/>
    </row>
    <row r="3542" spans="1:1">
      <c r="A3542" s="15"/>
    </row>
    <row r="3543" spans="1:1">
      <c r="A3543" s="15"/>
    </row>
    <row r="3544" spans="1:1">
      <c r="A3544" s="15"/>
    </row>
    <row r="3545" spans="1:1">
      <c r="A3545" s="15"/>
    </row>
    <row r="3546" spans="1:1">
      <c r="A3546" s="15"/>
    </row>
    <row r="3547" spans="1:1">
      <c r="A3547" s="15"/>
    </row>
    <row r="3548" spans="1:1">
      <c r="A3548" s="15"/>
    </row>
    <row r="3549" spans="1:1">
      <c r="A3549" s="15"/>
    </row>
    <row r="3550" spans="1:1">
      <c r="A3550" s="15"/>
    </row>
    <row r="3551" spans="1:1">
      <c r="A3551" s="15"/>
    </row>
    <row r="3552" spans="1:1">
      <c r="A3552" s="15"/>
    </row>
    <row r="3553" spans="1:1">
      <c r="A3553" s="15"/>
    </row>
    <row r="3554" spans="1:1">
      <c r="A3554" s="15"/>
    </row>
    <row r="3555" spans="1:1">
      <c r="A3555" s="15"/>
    </row>
    <row r="3556" spans="1:1">
      <c r="A3556" s="15"/>
    </row>
    <row r="3557" spans="1:1">
      <c r="A3557" s="15"/>
    </row>
    <row r="3558" spans="1:1">
      <c r="A3558" s="15"/>
    </row>
    <row r="3559" spans="1:1">
      <c r="A3559" s="15"/>
    </row>
    <row r="3560" spans="1:1">
      <c r="A3560" s="15"/>
    </row>
    <row r="3561" spans="1:1">
      <c r="A3561" s="15"/>
    </row>
    <row r="3562" spans="1:1">
      <c r="A3562" s="15"/>
    </row>
    <row r="3563" spans="1:1">
      <c r="A3563" s="15"/>
    </row>
    <row r="3564" spans="1:1">
      <c r="A3564" s="15"/>
    </row>
    <row r="3565" spans="1:1">
      <c r="A3565" s="15"/>
    </row>
    <row r="3566" spans="1:1">
      <c r="A3566" s="15"/>
    </row>
    <row r="3567" spans="1:1">
      <c r="A3567" s="15"/>
    </row>
    <row r="3568" spans="1:1">
      <c r="A3568" s="15"/>
    </row>
    <row r="3569" spans="1:1">
      <c r="A3569" s="15"/>
    </row>
    <row r="3570" spans="1:1">
      <c r="A3570" s="15"/>
    </row>
    <row r="3571" spans="1:1">
      <c r="A3571" s="15"/>
    </row>
    <row r="3572" spans="1:1">
      <c r="A3572" s="15"/>
    </row>
    <row r="3573" spans="1:1">
      <c r="A3573" s="15"/>
    </row>
    <row r="3574" spans="1:1">
      <c r="A3574" s="15"/>
    </row>
    <row r="3575" spans="1:1">
      <c r="A3575" s="15"/>
    </row>
    <row r="3576" spans="1:1">
      <c r="A3576" s="15"/>
    </row>
    <row r="3577" spans="1:1">
      <c r="A3577" s="15"/>
    </row>
    <row r="3578" spans="1:1">
      <c r="A3578" s="15"/>
    </row>
    <row r="3579" spans="1:1">
      <c r="A3579" s="15"/>
    </row>
    <row r="3580" spans="1:1">
      <c r="A3580" s="15"/>
    </row>
    <row r="3581" spans="1:1">
      <c r="A3581" s="15"/>
    </row>
    <row r="3582" spans="1:1">
      <c r="A3582" s="15"/>
    </row>
    <row r="3583" spans="1:1">
      <c r="A3583" s="15"/>
    </row>
    <row r="3584" spans="1:1">
      <c r="A3584" s="15"/>
    </row>
    <row r="3585" spans="1:1">
      <c r="A3585" s="15"/>
    </row>
    <row r="3586" spans="1:1">
      <c r="A3586" s="15"/>
    </row>
    <row r="3587" spans="1:1">
      <c r="A3587" s="15"/>
    </row>
    <row r="3588" spans="1:1">
      <c r="A3588" s="15"/>
    </row>
    <row r="3589" spans="1:1">
      <c r="A3589" s="15"/>
    </row>
    <row r="3590" spans="1:1">
      <c r="A3590" s="15"/>
    </row>
    <row r="3591" spans="1:1">
      <c r="A3591" s="15"/>
    </row>
    <row r="3592" spans="1:1">
      <c r="A3592" s="15"/>
    </row>
    <row r="3593" spans="1:1">
      <c r="A3593" s="15"/>
    </row>
    <row r="3594" spans="1:1">
      <c r="A3594" s="15"/>
    </row>
    <row r="3595" spans="1:1">
      <c r="A3595" s="15"/>
    </row>
    <row r="3596" spans="1:1">
      <c r="A3596" s="15"/>
    </row>
    <row r="3597" spans="1:1">
      <c r="A3597" s="15"/>
    </row>
    <row r="3598" spans="1:1">
      <c r="A3598" s="15"/>
    </row>
    <row r="3599" spans="1:1">
      <c r="A3599" s="15"/>
    </row>
    <row r="3600" spans="1:1">
      <c r="A3600" s="15"/>
    </row>
    <row r="3601" spans="1:1">
      <c r="A3601" s="15"/>
    </row>
    <row r="3602" spans="1:1">
      <c r="A3602" s="15"/>
    </row>
    <row r="3603" spans="1:1">
      <c r="A3603" s="15"/>
    </row>
    <row r="3604" spans="1:1">
      <c r="A3604" s="15"/>
    </row>
    <row r="3605" spans="1:1">
      <c r="A3605" s="15"/>
    </row>
    <row r="3606" spans="1:1">
      <c r="A3606" s="15"/>
    </row>
    <row r="3607" spans="1:1">
      <c r="A3607" s="15"/>
    </row>
    <row r="3608" spans="1:1">
      <c r="A3608" s="15"/>
    </row>
    <row r="3609" spans="1:1">
      <c r="A3609" s="15"/>
    </row>
    <row r="3610" spans="1:1">
      <c r="A3610" s="15"/>
    </row>
    <row r="3611" spans="1:1">
      <c r="A3611" s="15"/>
    </row>
    <row r="3612" spans="1:1">
      <c r="A3612" s="15"/>
    </row>
    <row r="3613" spans="1:1">
      <c r="A3613" s="15"/>
    </row>
    <row r="3614" spans="1:1">
      <c r="A3614" s="15"/>
    </row>
    <row r="3615" spans="1:1">
      <c r="A3615" s="15"/>
    </row>
    <row r="3616" spans="1:1">
      <c r="A3616" s="15"/>
    </row>
    <row r="3617" spans="1:1">
      <c r="A3617" s="15"/>
    </row>
    <row r="3618" spans="1:1">
      <c r="A3618" s="15"/>
    </row>
    <row r="3619" spans="1:1">
      <c r="A3619" s="15"/>
    </row>
    <row r="3620" spans="1:1">
      <c r="A3620" s="15"/>
    </row>
    <row r="3621" spans="1:1">
      <c r="A3621" s="15"/>
    </row>
    <row r="3622" spans="1:1">
      <c r="A3622" s="15"/>
    </row>
    <row r="3623" spans="1:1">
      <c r="A3623" s="15"/>
    </row>
    <row r="3624" spans="1:1">
      <c r="A3624" s="15"/>
    </row>
    <row r="3625" spans="1:1">
      <c r="A3625" s="15"/>
    </row>
    <row r="3626" spans="1:1">
      <c r="A3626" s="15"/>
    </row>
    <row r="3627" spans="1:1">
      <c r="A3627" s="15"/>
    </row>
    <row r="3628" spans="1:1">
      <c r="A3628" s="15"/>
    </row>
    <row r="3629" spans="1:1">
      <c r="A3629" s="15"/>
    </row>
    <row r="3630" spans="1:1">
      <c r="A3630" s="15"/>
    </row>
    <row r="3631" spans="1:1">
      <c r="A3631" s="15"/>
    </row>
    <row r="3632" spans="1:1">
      <c r="A3632" s="15"/>
    </row>
    <row r="3633" spans="1:1">
      <c r="A3633" s="15"/>
    </row>
    <row r="3634" spans="1:1">
      <c r="A3634" s="15"/>
    </row>
    <row r="3635" spans="1:1">
      <c r="A3635" s="15"/>
    </row>
    <row r="3636" spans="1:1">
      <c r="A3636" s="15"/>
    </row>
    <row r="3637" spans="1:1">
      <c r="A3637" s="15"/>
    </row>
    <row r="3638" spans="1:1">
      <c r="A3638" s="15"/>
    </row>
    <row r="3639" spans="1:1">
      <c r="A3639" s="15"/>
    </row>
    <row r="3640" spans="1:1">
      <c r="A3640" s="15"/>
    </row>
    <row r="3641" spans="1:1">
      <c r="A3641" s="15"/>
    </row>
    <row r="3642" spans="1:1">
      <c r="A3642" s="15"/>
    </row>
    <row r="3643" spans="1:1">
      <c r="A3643" s="15"/>
    </row>
    <row r="3644" spans="1:1">
      <c r="A3644" s="15"/>
    </row>
    <row r="3645" spans="1:1">
      <c r="A3645" s="15"/>
    </row>
    <row r="3646" spans="1:1">
      <c r="A3646" s="15"/>
    </row>
    <row r="3647" spans="1:1">
      <c r="A3647" s="15"/>
    </row>
    <row r="3648" spans="1:1">
      <c r="A3648" s="15"/>
    </row>
    <row r="3649" spans="1:1">
      <c r="A3649" s="15"/>
    </row>
    <row r="3650" spans="1:1">
      <c r="A3650" s="15"/>
    </row>
    <row r="3651" spans="1:1">
      <c r="A3651" s="15"/>
    </row>
    <row r="3652" spans="1:1">
      <c r="A3652" s="15"/>
    </row>
    <row r="3653" spans="1:1">
      <c r="A3653" s="15"/>
    </row>
    <row r="3654" spans="1:1">
      <c r="A3654" s="15"/>
    </row>
    <row r="3655" spans="1:1">
      <c r="A3655" s="15"/>
    </row>
    <row r="3656" spans="1:1">
      <c r="A3656" s="15"/>
    </row>
    <row r="3657" spans="1:1">
      <c r="A3657" s="15"/>
    </row>
    <row r="3658" spans="1:1">
      <c r="A3658" s="15"/>
    </row>
    <row r="3659" spans="1:1">
      <c r="A3659" s="15"/>
    </row>
    <row r="3660" spans="1:1">
      <c r="A3660" s="15"/>
    </row>
    <row r="3661" spans="1:1">
      <c r="A3661" s="15"/>
    </row>
    <row r="3662" spans="1:1">
      <c r="A3662" s="15"/>
    </row>
    <row r="3663" spans="1:1">
      <c r="A3663" s="15"/>
    </row>
    <row r="3664" spans="1:1">
      <c r="A3664" s="15"/>
    </row>
    <row r="3665" spans="1:1">
      <c r="A3665" s="15"/>
    </row>
    <row r="3666" spans="1:1">
      <c r="A3666" s="15"/>
    </row>
    <row r="3667" spans="1:1">
      <c r="A3667" s="15"/>
    </row>
    <row r="3668" spans="1:1">
      <c r="A3668" s="15"/>
    </row>
    <row r="3669" spans="1:1">
      <c r="A3669" s="15"/>
    </row>
    <row r="3670" spans="1:1">
      <c r="A3670" s="15"/>
    </row>
    <row r="3671" spans="1:1">
      <c r="A3671" s="15"/>
    </row>
    <row r="3672" spans="1:1">
      <c r="A3672" s="15"/>
    </row>
    <row r="3673" spans="1:1">
      <c r="A3673" s="15"/>
    </row>
    <row r="3674" spans="1:1">
      <c r="A3674" s="15"/>
    </row>
    <row r="3675" spans="1:1">
      <c r="A3675" s="15"/>
    </row>
    <row r="3676" spans="1:1">
      <c r="A3676" s="15"/>
    </row>
    <row r="3677" spans="1:1">
      <c r="A3677" s="15"/>
    </row>
    <row r="3678" spans="1:1">
      <c r="A3678" s="15"/>
    </row>
    <row r="3679" spans="1:1">
      <c r="A3679" s="15"/>
    </row>
    <row r="3680" spans="1:1">
      <c r="A3680" s="15"/>
    </row>
    <row r="3681" spans="1:1">
      <c r="A3681" s="15"/>
    </row>
    <row r="3682" spans="1:1">
      <c r="A3682" s="15"/>
    </row>
    <row r="3683" spans="1:1">
      <c r="A3683" s="15"/>
    </row>
    <row r="3684" spans="1:1">
      <c r="A3684" s="15"/>
    </row>
    <row r="3685" spans="1:1">
      <c r="A3685" s="15"/>
    </row>
    <row r="3686" spans="1:1">
      <c r="A3686" s="15"/>
    </row>
    <row r="3687" spans="1:1">
      <c r="A3687" s="15"/>
    </row>
    <row r="3688" spans="1:1">
      <c r="A3688" s="15"/>
    </row>
    <row r="3689" spans="1:1">
      <c r="A3689" s="15"/>
    </row>
    <row r="3690" spans="1:1">
      <c r="A3690" s="15"/>
    </row>
    <row r="3691" spans="1:1">
      <c r="A3691" s="15"/>
    </row>
    <row r="3692" spans="1:1">
      <c r="A3692" s="15"/>
    </row>
    <row r="3693" spans="1:1">
      <c r="A3693" s="15"/>
    </row>
    <row r="3694" spans="1:1">
      <c r="A3694" s="15"/>
    </row>
    <row r="3695" spans="1:1">
      <c r="A3695" s="15"/>
    </row>
    <row r="3696" spans="1:1">
      <c r="A3696" s="15"/>
    </row>
    <row r="3697" spans="1:1">
      <c r="A3697" s="15"/>
    </row>
    <row r="3698" spans="1:1">
      <c r="A3698" s="15"/>
    </row>
    <row r="3699" spans="1:1">
      <c r="A3699" s="15"/>
    </row>
    <row r="3700" spans="1:1">
      <c r="A3700" s="15"/>
    </row>
    <row r="3701" spans="1:1">
      <c r="A3701" s="15"/>
    </row>
    <row r="3702" spans="1:1">
      <c r="A3702" s="15"/>
    </row>
    <row r="3703" spans="1:1">
      <c r="A3703" s="15"/>
    </row>
    <row r="3704" spans="1:1">
      <c r="A3704" s="15"/>
    </row>
    <row r="3705" spans="1:1">
      <c r="A3705" s="15"/>
    </row>
    <row r="3706" spans="1:1">
      <c r="A3706" s="15"/>
    </row>
    <row r="3707" spans="1:1">
      <c r="A3707" s="15"/>
    </row>
    <row r="3708" spans="1:1">
      <c r="A3708" s="15"/>
    </row>
    <row r="3709" spans="1:1">
      <c r="A3709" s="15"/>
    </row>
    <row r="3710" spans="1:1">
      <c r="A3710" s="15"/>
    </row>
    <row r="3711" spans="1:1">
      <c r="A3711" s="15"/>
    </row>
    <row r="3712" spans="1:1">
      <c r="A3712" s="15"/>
    </row>
    <row r="3713" spans="1:1">
      <c r="A3713" s="15"/>
    </row>
    <row r="3714" spans="1:1">
      <c r="A3714" s="15"/>
    </row>
    <row r="3715" spans="1:1">
      <c r="A3715" s="15"/>
    </row>
    <row r="3716" spans="1:1">
      <c r="A3716" s="15"/>
    </row>
    <row r="3717" spans="1:1">
      <c r="A3717" s="15"/>
    </row>
    <row r="3718" spans="1:1">
      <c r="A3718" s="15"/>
    </row>
    <row r="3719" spans="1:1">
      <c r="A3719" s="15"/>
    </row>
    <row r="3720" spans="1:1">
      <c r="A3720" s="15"/>
    </row>
    <row r="3721" spans="1:1">
      <c r="A3721" s="15"/>
    </row>
    <row r="3722" spans="1:1">
      <c r="A3722" s="15"/>
    </row>
    <row r="3723" spans="1:1">
      <c r="A3723" s="15"/>
    </row>
    <row r="3724" spans="1:1">
      <c r="A3724" s="15"/>
    </row>
    <row r="3725" spans="1:1">
      <c r="A3725" s="15"/>
    </row>
    <row r="3726" spans="1:1">
      <c r="A3726" s="15"/>
    </row>
    <row r="3727" spans="1:1">
      <c r="A3727" s="15"/>
    </row>
    <row r="3728" spans="1:1">
      <c r="A3728" s="15"/>
    </row>
    <row r="3729" spans="1:1">
      <c r="A3729" s="15"/>
    </row>
    <row r="3730" spans="1:1">
      <c r="A3730" s="15"/>
    </row>
    <row r="3731" spans="1:1">
      <c r="A3731" s="15"/>
    </row>
    <row r="3732" spans="1:1">
      <c r="A3732" s="15"/>
    </row>
    <row r="3733" spans="1:1">
      <c r="A3733" s="15"/>
    </row>
    <row r="3734" spans="1:1">
      <c r="A3734" s="15"/>
    </row>
    <row r="3735" spans="1:1">
      <c r="A3735" s="15"/>
    </row>
    <row r="3736" spans="1:1">
      <c r="A3736" s="15"/>
    </row>
    <row r="3737" spans="1:1">
      <c r="A3737" s="15"/>
    </row>
    <row r="3738" spans="1:1">
      <c r="A3738" s="15"/>
    </row>
    <row r="3739" spans="1:1">
      <c r="A3739" s="15"/>
    </row>
    <row r="3740" spans="1:1">
      <c r="A3740" s="15"/>
    </row>
    <row r="3741" spans="1:1">
      <c r="A3741" s="15"/>
    </row>
    <row r="3742" spans="1:1">
      <c r="A3742" s="15"/>
    </row>
    <row r="3743" spans="1:1">
      <c r="A3743" s="15"/>
    </row>
    <row r="3744" spans="1:1">
      <c r="A3744" s="15"/>
    </row>
    <row r="3745" spans="1:1">
      <c r="A3745" s="15"/>
    </row>
    <row r="3746" spans="1:1">
      <c r="A3746" s="15"/>
    </row>
    <row r="3747" spans="1:1">
      <c r="A3747" s="15"/>
    </row>
    <row r="3748" spans="1:1">
      <c r="A3748" s="15"/>
    </row>
    <row r="3749" spans="1:1">
      <c r="A3749" s="15"/>
    </row>
    <row r="3750" spans="1:1">
      <c r="A3750" s="15"/>
    </row>
    <row r="3751" spans="1:1">
      <c r="A3751" s="15"/>
    </row>
    <row r="3752" spans="1:1">
      <c r="A3752" s="15"/>
    </row>
    <row r="3753" spans="1:1">
      <c r="A3753" s="15"/>
    </row>
    <row r="3754" spans="1:1">
      <c r="A3754" s="15"/>
    </row>
    <row r="3755" spans="1:1">
      <c r="A3755" s="15"/>
    </row>
    <row r="3756" spans="1:1">
      <c r="A3756" s="15"/>
    </row>
    <row r="3757" spans="1:1">
      <c r="A3757" s="15"/>
    </row>
    <row r="3758" spans="1:1">
      <c r="A3758" s="15"/>
    </row>
    <row r="3759" spans="1:1">
      <c r="A3759" s="15"/>
    </row>
    <row r="3760" spans="1:1">
      <c r="A3760" s="15"/>
    </row>
    <row r="3761" spans="1:1">
      <c r="A3761" s="15"/>
    </row>
    <row r="3762" spans="1:1">
      <c r="A3762" s="15"/>
    </row>
    <row r="3763" spans="1:1">
      <c r="A3763" s="15"/>
    </row>
    <row r="3764" spans="1:1">
      <c r="A3764" s="15"/>
    </row>
    <row r="3765" spans="1:1">
      <c r="A3765" s="15"/>
    </row>
    <row r="3766" spans="1:1">
      <c r="A3766" s="15"/>
    </row>
    <row r="3767" spans="1:1">
      <c r="A3767" s="15"/>
    </row>
    <row r="3768" spans="1:1">
      <c r="A3768" s="15"/>
    </row>
    <row r="3769" spans="1:1">
      <c r="A3769" s="15"/>
    </row>
    <row r="3770" spans="1:1">
      <c r="A3770" s="15"/>
    </row>
    <row r="3771" spans="1:1">
      <c r="A3771" s="15"/>
    </row>
    <row r="3772" spans="1:1">
      <c r="A3772" s="15"/>
    </row>
    <row r="3773" spans="1:1">
      <c r="A3773" s="15"/>
    </row>
    <row r="3774" spans="1:1">
      <c r="A3774" s="15"/>
    </row>
    <row r="3775" spans="1:1">
      <c r="A3775" s="15"/>
    </row>
    <row r="3776" spans="1:1">
      <c r="A3776" s="15"/>
    </row>
    <row r="3777" spans="1:1">
      <c r="A3777" s="15"/>
    </row>
    <row r="3778" spans="1:1">
      <c r="A3778" s="15"/>
    </row>
    <row r="3779" spans="1:1">
      <c r="A3779" s="15"/>
    </row>
    <row r="3780" spans="1:1">
      <c r="A3780" s="15"/>
    </row>
    <row r="3781" spans="1:1">
      <c r="A3781" s="15"/>
    </row>
    <row r="3782" spans="1:1">
      <c r="A3782" s="15"/>
    </row>
    <row r="3783" spans="1:1">
      <c r="A3783" s="15"/>
    </row>
    <row r="3784" spans="1:1">
      <c r="A3784" s="15"/>
    </row>
    <row r="3785" spans="1:1">
      <c r="A3785" s="15"/>
    </row>
    <row r="3786" spans="1:1">
      <c r="A3786" s="15"/>
    </row>
    <row r="3787" spans="1:1">
      <c r="A3787" s="15"/>
    </row>
    <row r="3788" spans="1:1">
      <c r="A3788" s="15"/>
    </row>
    <row r="3789" spans="1:1">
      <c r="A3789" s="15"/>
    </row>
    <row r="3790" spans="1:1">
      <c r="A3790" s="15"/>
    </row>
    <row r="3791" spans="1:1">
      <c r="A3791" s="15"/>
    </row>
    <row r="3792" spans="1:1">
      <c r="A3792" s="15"/>
    </row>
    <row r="3793" spans="1:1">
      <c r="A3793" s="15"/>
    </row>
    <row r="3794" spans="1:1">
      <c r="A3794" s="15"/>
    </row>
    <row r="3795" spans="1:1">
      <c r="A3795" s="15"/>
    </row>
    <row r="3796" spans="1:1">
      <c r="A3796" s="15"/>
    </row>
    <row r="3797" spans="1:1">
      <c r="A3797" s="15"/>
    </row>
    <row r="3798" spans="1:1">
      <c r="A3798" s="15"/>
    </row>
    <row r="3799" spans="1:1">
      <c r="A3799" s="15"/>
    </row>
    <row r="3800" spans="1:1">
      <c r="A3800" s="15"/>
    </row>
    <row r="3801" spans="1:1">
      <c r="A3801" s="15"/>
    </row>
    <row r="3802" spans="1:1">
      <c r="A3802" s="15"/>
    </row>
    <row r="3803" spans="1:1">
      <c r="A3803" s="15"/>
    </row>
    <row r="3804" spans="1:1">
      <c r="A3804" s="15"/>
    </row>
    <row r="3805" spans="1:1">
      <c r="A3805" s="15"/>
    </row>
    <row r="3806" spans="1:1">
      <c r="A3806" s="15"/>
    </row>
    <row r="3807" spans="1:1">
      <c r="A3807" s="15"/>
    </row>
    <row r="3808" spans="1:1">
      <c r="A3808" s="15"/>
    </row>
    <row r="3809" spans="1:1">
      <c r="A3809" s="15"/>
    </row>
    <row r="3810" spans="1:1">
      <c r="A3810" s="15"/>
    </row>
    <row r="3811" spans="1:1">
      <c r="A3811" s="15"/>
    </row>
    <row r="3812" spans="1:1">
      <c r="A3812" s="15"/>
    </row>
    <row r="3813" spans="1:1">
      <c r="A3813" s="15"/>
    </row>
    <row r="3814" spans="1:1">
      <c r="A3814" s="15"/>
    </row>
    <row r="3815" spans="1:1">
      <c r="A3815" s="15"/>
    </row>
    <row r="3816" spans="1:1">
      <c r="A3816" s="15"/>
    </row>
    <row r="3817" spans="1:1">
      <c r="A3817" s="15"/>
    </row>
    <row r="3818" spans="1:1">
      <c r="A3818" s="15"/>
    </row>
    <row r="3819" spans="1:1">
      <c r="A3819" s="15"/>
    </row>
    <row r="3820" spans="1:1">
      <c r="A3820" s="15"/>
    </row>
    <row r="3821" spans="1:1">
      <c r="A3821" s="15"/>
    </row>
    <row r="3822" spans="1:1">
      <c r="A3822" s="15"/>
    </row>
    <row r="3823" spans="1:1">
      <c r="A3823" s="15"/>
    </row>
    <row r="3824" spans="1:1">
      <c r="A3824" s="15"/>
    </row>
    <row r="3825" spans="1:1">
      <c r="A3825" s="15"/>
    </row>
    <row r="3826" spans="1:1">
      <c r="A3826" s="15"/>
    </row>
    <row r="3827" spans="1:1">
      <c r="A3827" s="15"/>
    </row>
    <row r="3828" spans="1:1">
      <c r="A3828" s="15"/>
    </row>
    <row r="3829" spans="1:1">
      <c r="A3829" s="15"/>
    </row>
    <row r="3830" spans="1:1">
      <c r="A3830" s="15"/>
    </row>
    <row r="3831" spans="1:1">
      <c r="A3831" s="15"/>
    </row>
    <row r="3832" spans="1:1">
      <c r="A3832" s="15"/>
    </row>
    <row r="3833" spans="1:1">
      <c r="A3833" s="15"/>
    </row>
    <row r="3834" spans="1:1">
      <c r="A3834" s="15"/>
    </row>
    <row r="3835" spans="1:1">
      <c r="A3835" s="15"/>
    </row>
    <row r="3836" spans="1:1">
      <c r="A3836" s="15"/>
    </row>
    <row r="3837" spans="1:1">
      <c r="A3837" s="15"/>
    </row>
    <row r="3838" spans="1:1">
      <c r="A3838" s="15"/>
    </row>
    <row r="3839" spans="1:1">
      <c r="A3839" s="15"/>
    </row>
    <row r="3840" spans="1:1">
      <c r="A3840" s="15"/>
    </row>
    <row r="3841" spans="1:1">
      <c r="A3841" s="15"/>
    </row>
    <row r="3842" spans="1:1">
      <c r="A3842" s="15"/>
    </row>
    <row r="3843" spans="1:1">
      <c r="A3843" s="15"/>
    </row>
    <row r="3844" spans="1:1">
      <c r="A3844" s="15"/>
    </row>
    <row r="3845" spans="1:1">
      <c r="A3845" s="15"/>
    </row>
    <row r="3846" spans="1:1">
      <c r="A3846" s="15"/>
    </row>
    <row r="3847" spans="1:1">
      <c r="A3847" s="15"/>
    </row>
    <row r="3848" spans="1:1">
      <c r="A3848" s="15"/>
    </row>
    <row r="3849" spans="1:1">
      <c r="A3849" s="15"/>
    </row>
    <row r="3850" spans="1:1">
      <c r="A3850" s="15"/>
    </row>
    <row r="3851" spans="1:1">
      <c r="A3851" s="15"/>
    </row>
    <row r="3852" spans="1:1">
      <c r="A3852" s="15"/>
    </row>
    <row r="3853" spans="1:1">
      <c r="A3853" s="15"/>
    </row>
    <row r="3854" spans="1:1">
      <c r="A3854" s="15"/>
    </row>
    <row r="3855" spans="1:1">
      <c r="A3855" s="15"/>
    </row>
    <row r="3856" spans="1:1">
      <c r="A3856" s="15"/>
    </row>
    <row r="3857" spans="1:1">
      <c r="A3857" s="15"/>
    </row>
    <row r="3858" spans="1:1">
      <c r="A3858" s="15"/>
    </row>
    <row r="3859" spans="1:1">
      <c r="A3859" s="15"/>
    </row>
    <row r="3860" spans="1:1">
      <c r="A3860" s="15"/>
    </row>
    <row r="3861" spans="1:1">
      <c r="A3861" s="15"/>
    </row>
    <row r="3862" spans="1:1">
      <c r="A3862" s="15"/>
    </row>
    <row r="3863" spans="1:1">
      <c r="A3863" s="15"/>
    </row>
    <row r="3864" spans="1:1">
      <c r="A3864" s="15"/>
    </row>
    <row r="3865" spans="1:1">
      <c r="A3865" s="15"/>
    </row>
    <row r="3866" spans="1:1">
      <c r="A3866" s="15"/>
    </row>
    <row r="3867" spans="1:1">
      <c r="A3867" s="15"/>
    </row>
    <row r="3868" spans="1:1">
      <c r="A3868" s="15"/>
    </row>
    <row r="3869" spans="1:1">
      <c r="A3869" s="15"/>
    </row>
    <row r="3870" spans="1:1">
      <c r="A3870" s="15"/>
    </row>
    <row r="3871" spans="1:1">
      <c r="A3871" s="15"/>
    </row>
    <row r="3872" spans="1:1">
      <c r="A3872" s="15"/>
    </row>
    <row r="3873" spans="1:1">
      <c r="A3873" s="15"/>
    </row>
    <row r="3874" spans="1:1">
      <c r="A3874" s="15"/>
    </row>
    <row r="3875" spans="1:1">
      <c r="A3875" s="15"/>
    </row>
    <row r="3876" spans="1:1">
      <c r="A3876" s="15"/>
    </row>
    <row r="3877" spans="1:1">
      <c r="A3877" s="15"/>
    </row>
    <row r="3878" spans="1:1">
      <c r="A3878" s="15"/>
    </row>
    <row r="3879" spans="1:1">
      <c r="A3879" s="15"/>
    </row>
    <row r="3880" spans="1:1">
      <c r="A3880" s="15"/>
    </row>
    <row r="3881" spans="1:1">
      <c r="A3881" s="15"/>
    </row>
    <row r="3882" spans="1:1">
      <c r="A3882" s="15"/>
    </row>
    <row r="3883" spans="1:1">
      <c r="A3883" s="15"/>
    </row>
    <row r="3884" spans="1:1">
      <c r="A3884" s="15"/>
    </row>
    <row r="3885" spans="1:1">
      <c r="A3885" s="15"/>
    </row>
    <row r="3886" spans="1:1">
      <c r="A3886" s="15"/>
    </row>
    <row r="3887" spans="1:1">
      <c r="A3887" s="15"/>
    </row>
    <row r="3888" spans="1:1">
      <c r="A3888" s="15"/>
    </row>
    <row r="3889" spans="1:1">
      <c r="A3889" s="15"/>
    </row>
    <row r="3890" spans="1:1">
      <c r="A3890" s="15"/>
    </row>
    <row r="3891" spans="1:1">
      <c r="A3891" s="15"/>
    </row>
    <row r="3892" spans="1:1">
      <c r="A3892" s="15"/>
    </row>
    <row r="3893" spans="1:1">
      <c r="A3893" s="15"/>
    </row>
    <row r="3894" spans="1:1">
      <c r="A3894" s="15"/>
    </row>
    <row r="3895" spans="1:1">
      <c r="A3895" s="15"/>
    </row>
    <row r="3896" spans="1:1">
      <c r="A3896" s="15"/>
    </row>
    <row r="3897" spans="1:1">
      <c r="A3897" s="15"/>
    </row>
    <row r="3898" spans="1:1">
      <c r="A3898" s="15"/>
    </row>
    <row r="3899" spans="1:1">
      <c r="A3899" s="15"/>
    </row>
    <row r="3900" spans="1:1">
      <c r="A3900" s="15"/>
    </row>
    <row r="3901" spans="1:1">
      <c r="A3901" s="15"/>
    </row>
    <row r="3902" spans="1:1">
      <c r="A3902" s="15"/>
    </row>
    <row r="3903" spans="1:1">
      <c r="A3903" s="15"/>
    </row>
    <row r="3904" spans="1:1">
      <c r="A3904" s="15"/>
    </row>
    <row r="3905" spans="1:1">
      <c r="A3905" s="15"/>
    </row>
    <row r="3906" spans="1:1">
      <c r="A3906" s="15"/>
    </row>
    <row r="3907" spans="1:1">
      <c r="A3907" s="15"/>
    </row>
    <row r="3908" spans="1:1">
      <c r="A3908" s="15"/>
    </row>
    <row r="3909" spans="1:1">
      <c r="A3909" s="15"/>
    </row>
    <row r="3910" spans="1:1">
      <c r="A3910" s="15"/>
    </row>
    <row r="3911" spans="1:1">
      <c r="A3911" s="15"/>
    </row>
    <row r="3912" spans="1:1">
      <c r="A3912" s="15"/>
    </row>
    <row r="3913" spans="1:1">
      <c r="A3913" s="15"/>
    </row>
    <row r="3914" spans="1:1">
      <c r="A3914" s="15"/>
    </row>
    <row r="3915" spans="1:1">
      <c r="A3915" s="15"/>
    </row>
    <row r="3916" spans="1:1">
      <c r="A3916" s="15"/>
    </row>
    <row r="3917" spans="1:1">
      <c r="A3917" s="15"/>
    </row>
    <row r="3918" spans="1:1">
      <c r="A3918" s="15"/>
    </row>
    <row r="3919" spans="1:1">
      <c r="A3919" s="15"/>
    </row>
    <row r="3920" spans="1:1">
      <c r="A3920" s="15"/>
    </row>
    <row r="3921" spans="1:1">
      <c r="A3921" s="15"/>
    </row>
    <row r="3922" spans="1:1">
      <c r="A3922" s="15"/>
    </row>
    <row r="3923" spans="1:1">
      <c r="A3923" s="15"/>
    </row>
    <row r="3924" spans="1:1">
      <c r="A3924" s="15"/>
    </row>
    <row r="3925" spans="1:1">
      <c r="A3925" s="15"/>
    </row>
    <row r="3926" spans="1:1">
      <c r="A3926" s="15"/>
    </row>
    <row r="3927" spans="1:1">
      <c r="A3927" s="15"/>
    </row>
    <row r="3928" spans="1:1">
      <c r="A3928" s="15"/>
    </row>
    <row r="3929" spans="1:1">
      <c r="A3929" s="15"/>
    </row>
    <row r="3930" spans="1:1">
      <c r="A3930" s="15"/>
    </row>
    <row r="3931" spans="1:1">
      <c r="A3931" s="15"/>
    </row>
    <row r="3932" spans="1:1">
      <c r="A3932" s="15"/>
    </row>
    <row r="3933" spans="1:1">
      <c r="A3933" s="15"/>
    </row>
    <row r="3934" spans="1:1">
      <c r="A3934" s="15"/>
    </row>
    <row r="3935" spans="1:1">
      <c r="A3935" s="15"/>
    </row>
    <row r="3936" spans="1:1">
      <c r="A3936" s="15"/>
    </row>
    <row r="3937" spans="1:1">
      <c r="A3937" s="15"/>
    </row>
    <row r="3938" spans="1:1">
      <c r="A3938" s="15"/>
    </row>
    <row r="3939" spans="1:1">
      <c r="A3939" s="15"/>
    </row>
    <row r="3940" spans="1:1">
      <c r="A3940" s="15"/>
    </row>
    <row r="3941" spans="1:1">
      <c r="A3941" s="15"/>
    </row>
    <row r="3942" spans="1:1">
      <c r="A3942" s="15"/>
    </row>
    <row r="3943" spans="1:1">
      <c r="A3943" s="15"/>
    </row>
    <row r="3944" spans="1:1">
      <c r="A3944" s="15"/>
    </row>
    <row r="3945" spans="1:1">
      <c r="A3945" s="15"/>
    </row>
    <row r="3946" spans="1:1">
      <c r="A3946" s="15"/>
    </row>
    <row r="3947" spans="1:1">
      <c r="A3947" s="15"/>
    </row>
    <row r="3948" spans="1:1">
      <c r="A3948" s="15"/>
    </row>
    <row r="3949" spans="1:1">
      <c r="A3949" s="15"/>
    </row>
    <row r="3950" spans="1:1">
      <c r="A3950" s="15"/>
    </row>
    <row r="3951" spans="1:1">
      <c r="A3951" s="15"/>
    </row>
    <row r="3952" spans="1:1">
      <c r="A3952" s="15"/>
    </row>
    <row r="3953" spans="1:1">
      <c r="A3953" s="15"/>
    </row>
    <row r="3954" spans="1:1">
      <c r="A3954" s="15"/>
    </row>
    <row r="3955" spans="1:1">
      <c r="A3955" s="15"/>
    </row>
    <row r="3956" spans="1:1">
      <c r="A3956" s="15"/>
    </row>
    <row r="3957" spans="1:1">
      <c r="A3957" s="15"/>
    </row>
    <row r="3958" spans="1:1">
      <c r="A3958" s="15"/>
    </row>
    <row r="3959" spans="1:1">
      <c r="A3959" s="15"/>
    </row>
    <row r="3960" spans="1:1">
      <c r="A3960" s="15"/>
    </row>
    <row r="3961" spans="1:1">
      <c r="A3961" s="15"/>
    </row>
    <row r="3962" spans="1:1">
      <c r="A3962" s="15"/>
    </row>
    <row r="3963" spans="1:1">
      <c r="A3963" s="15"/>
    </row>
    <row r="3964" spans="1:1">
      <c r="A3964" s="15"/>
    </row>
    <row r="3965" spans="1:1">
      <c r="A3965" s="15"/>
    </row>
    <row r="3966" spans="1:1">
      <c r="A3966" s="15"/>
    </row>
    <row r="3967" spans="1:1">
      <c r="A3967" s="15"/>
    </row>
    <row r="3968" spans="1:1">
      <c r="A3968" s="15"/>
    </row>
    <row r="3969" spans="1:1">
      <c r="A3969" s="15"/>
    </row>
    <row r="3970" spans="1:1">
      <c r="A3970" s="15"/>
    </row>
    <row r="3971" spans="1:1">
      <c r="A3971" s="15"/>
    </row>
    <row r="3972" spans="1:1">
      <c r="A3972" s="15"/>
    </row>
    <row r="3973" spans="1:1">
      <c r="A3973" s="15"/>
    </row>
    <row r="3974" spans="1:1">
      <c r="A3974" s="15"/>
    </row>
    <row r="3975" spans="1:1">
      <c r="A3975" s="15"/>
    </row>
    <row r="3976" spans="1:1">
      <c r="A3976" s="15"/>
    </row>
    <row r="3977" spans="1:1">
      <c r="A3977" s="15"/>
    </row>
    <row r="3978" spans="1:1">
      <c r="A3978" s="15"/>
    </row>
    <row r="3979" spans="1:1">
      <c r="A3979" s="15"/>
    </row>
    <row r="3980" spans="1:1">
      <c r="A3980" s="15"/>
    </row>
    <row r="3981" spans="1:1">
      <c r="A3981" s="15"/>
    </row>
    <row r="3982" spans="1:1">
      <c r="A3982" s="15"/>
    </row>
    <row r="3983" spans="1:1">
      <c r="A3983" s="15"/>
    </row>
    <row r="3984" spans="1:1">
      <c r="A3984" s="15"/>
    </row>
    <row r="3985" spans="1:1">
      <c r="A3985" s="15"/>
    </row>
    <row r="3986" spans="1:1">
      <c r="A3986" s="15"/>
    </row>
    <row r="3987" spans="1:1">
      <c r="A3987" s="15"/>
    </row>
  </sheetData>
  <mergeCells count="5">
    <mergeCell ref="A190:D190"/>
    <mergeCell ref="A1:D1"/>
    <mergeCell ref="A2:D2"/>
    <mergeCell ref="A5:D5"/>
    <mergeCell ref="A6:D6"/>
  </mergeCells>
  <phoneticPr fontId="0" type="noConversion"/>
  <printOptions horizontalCentered="1"/>
  <pageMargins left="0.39370078740157483" right="0.39370078740157483" top="0.62992125984251968" bottom="0.35433070866141736" header="0.35433070866141736" footer="0.51181102362204722"/>
  <pageSetup paperSize="9" scale="69" orientation="portrait" r:id="rId1"/>
  <headerFooter alignWithMargins="0">
    <oddHeader>&amp;R6. számú melléklet</oddHeader>
  </headerFooter>
  <rowBreaks count="4" manualBreakCount="4">
    <brk id="71" max="3" man="1"/>
    <brk id="137" max="3" man="1"/>
    <brk id="187" max="3" man="1"/>
    <brk id="252" max="3" man="1"/>
  </rowBreaks>
  <colBreaks count="1" manualBreakCount="1">
    <brk id="4" max="12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16">
    <tabColor theme="4" tint="0.59999389629810485"/>
  </sheetPr>
  <dimension ref="A1:T55"/>
  <sheetViews>
    <sheetView topLeftCell="A7" workbookViewId="0">
      <selection activeCell="E50" sqref="E50"/>
    </sheetView>
  </sheetViews>
  <sheetFormatPr defaultRowHeight="12.75"/>
  <cols>
    <col min="1" max="1" width="63.7109375" customWidth="1"/>
    <col min="2" max="2" width="15.85546875" style="6" customWidth="1"/>
    <col min="3" max="4" width="16" style="6" bestFit="1" customWidth="1"/>
    <col min="5" max="5" width="16.5703125" style="6" customWidth="1"/>
    <col min="6" max="6" width="16.28515625" style="6" customWidth="1"/>
    <col min="7" max="7" width="9.85546875" style="46" customWidth="1"/>
    <col min="8" max="20" width="9.140625" style="46" customWidth="1"/>
  </cols>
  <sheetData>
    <row r="1" spans="1:6">
      <c r="A1" s="729" t="s">
        <v>1041</v>
      </c>
      <c r="B1" s="729"/>
      <c r="C1" s="729"/>
      <c r="D1" s="729"/>
      <c r="E1" s="729"/>
      <c r="F1" s="729"/>
    </row>
    <row r="2" spans="1:6">
      <c r="A2" s="729" t="s">
        <v>1095</v>
      </c>
      <c r="B2" s="729"/>
      <c r="C2" s="729"/>
      <c r="D2" s="729"/>
      <c r="E2" s="729"/>
      <c r="F2" s="729"/>
    </row>
    <row r="3" spans="1:6" s="46" customFormat="1">
      <c r="C3" s="94"/>
      <c r="D3" s="94"/>
      <c r="E3" s="94"/>
      <c r="F3" s="94"/>
    </row>
    <row r="4" spans="1:6" s="46" customFormat="1" ht="14.25" customHeight="1">
      <c r="A4" s="217"/>
      <c r="B4" s="217"/>
      <c r="C4" s="280"/>
      <c r="D4" s="280"/>
      <c r="E4" s="280"/>
      <c r="F4" s="280"/>
    </row>
    <row r="5" spans="1:6" ht="20.25" customHeight="1">
      <c r="A5" s="217"/>
      <c r="B5" s="281"/>
      <c r="C5" s="281"/>
      <c r="D5" s="281"/>
      <c r="E5" s="839" t="s">
        <v>238</v>
      </c>
      <c r="F5" s="839"/>
    </row>
    <row r="6" spans="1:6" ht="45" customHeight="1">
      <c r="A6" s="162"/>
      <c r="B6" s="266" t="s">
        <v>25</v>
      </c>
      <c r="C6" s="266" t="s">
        <v>79</v>
      </c>
      <c r="D6" s="266" t="s">
        <v>80</v>
      </c>
      <c r="E6" s="266" t="s">
        <v>26</v>
      </c>
      <c r="F6" s="266" t="s">
        <v>54</v>
      </c>
    </row>
    <row r="7" spans="1:6" ht="15" customHeight="1">
      <c r="A7" s="282" t="s">
        <v>400</v>
      </c>
      <c r="B7" s="283">
        <v>473260387</v>
      </c>
      <c r="C7" s="283">
        <v>66980025</v>
      </c>
      <c r="D7" s="283">
        <v>73339146</v>
      </c>
      <c r="E7" s="283">
        <v>16823170</v>
      </c>
      <c r="F7" s="67">
        <f>SUM(B7:E7)</f>
        <v>630402728</v>
      </c>
    </row>
    <row r="8" spans="1:6" ht="15" customHeight="1">
      <c r="A8" s="282" t="s">
        <v>401</v>
      </c>
      <c r="B8" s="283">
        <v>96216143</v>
      </c>
      <c r="C8" s="283">
        <v>178051538</v>
      </c>
      <c r="D8" s="283">
        <v>269723502</v>
      </c>
      <c r="E8" s="283">
        <v>100706507</v>
      </c>
      <c r="F8" s="67">
        <f t="shared" ref="F8:F23" si="0">SUM(B8:E8)</f>
        <v>644697690</v>
      </c>
    </row>
    <row r="9" spans="1:6" ht="15" customHeight="1">
      <c r="A9" s="284" t="s">
        <v>402</v>
      </c>
      <c r="B9" s="285">
        <f>B7-B8</f>
        <v>377044244</v>
      </c>
      <c r="C9" s="285">
        <f>C7-C8</f>
        <v>-111071513</v>
      </c>
      <c r="D9" s="285">
        <f>D7-D8</f>
        <v>-196384356</v>
      </c>
      <c r="E9" s="285">
        <f>E7-E8</f>
        <v>-83883337</v>
      </c>
      <c r="F9" s="286">
        <f t="shared" si="0"/>
        <v>-14294962</v>
      </c>
    </row>
    <row r="10" spans="1:6" ht="15" customHeight="1">
      <c r="A10" s="282" t="s">
        <v>403</v>
      </c>
      <c r="B10" s="283">
        <v>29756642</v>
      </c>
      <c r="C10" s="283">
        <v>134462237</v>
      </c>
      <c r="D10" s="283">
        <v>213520298</v>
      </c>
      <c r="E10" s="283">
        <v>99617190</v>
      </c>
      <c r="F10" s="67">
        <f t="shared" si="0"/>
        <v>477356367</v>
      </c>
    </row>
    <row r="11" spans="1:6" ht="15" customHeight="1">
      <c r="A11" s="282" t="s">
        <v>404</v>
      </c>
      <c r="B11" s="283">
        <v>388441268</v>
      </c>
      <c r="C11" s="283">
        <v>0</v>
      </c>
      <c r="D11" s="283">
        <v>0</v>
      </c>
      <c r="E11" s="283">
        <v>0</v>
      </c>
      <c r="F11" s="67">
        <f t="shared" si="0"/>
        <v>388441268</v>
      </c>
    </row>
    <row r="12" spans="1:6" ht="15" customHeight="1">
      <c r="A12" s="284" t="s">
        <v>405</v>
      </c>
      <c r="B12" s="285">
        <f>B10-B11</f>
        <v>-358684626</v>
      </c>
      <c r="C12" s="285">
        <f>C10-C11</f>
        <v>134462237</v>
      </c>
      <c r="D12" s="285">
        <f>D10-D11</f>
        <v>213520298</v>
      </c>
      <c r="E12" s="285">
        <f>E10-E11</f>
        <v>99617190</v>
      </c>
      <c r="F12" s="286">
        <f t="shared" si="0"/>
        <v>88915099</v>
      </c>
    </row>
    <row r="13" spans="1:6" ht="15" customHeight="1">
      <c r="A13" s="252" t="s">
        <v>406</v>
      </c>
      <c r="B13" s="253">
        <f>B9+B12</f>
        <v>18359618</v>
      </c>
      <c r="C13" s="253">
        <f>C9+C12</f>
        <v>23390724</v>
      </c>
      <c r="D13" s="253">
        <f>D9+D12</f>
        <v>17135942</v>
      </c>
      <c r="E13" s="253">
        <f>E9+E12</f>
        <v>15733853</v>
      </c>
      <c r="F13" s="287">
        <f t="shared" si="0"/>
        <v>74620137</v>
      </c>
    </row>
    <row r="14" spans="1:6" ht="15" customHeight="1">
      <c r="A14" s="282" t="s">
        <v>407</v>
      </c>
      <c r="B14" s="283"/>
      <c r="C14" s="283"/>
      <c r="D14" s="283"/>
      <c r="E14" s="283"/>
      <c r="F14" s="67"/>
    </row>
    <row r="15" spans="1:6" ht="15" customHeight="1">
      <c r="A15" s="282" t="s">
        <v>408</v>
      </c>
      <c r="B15" s="283"/>
      <c r="C15" s="283"/>
      <c r="D15" s="283"/>
      <c r="E15" s="283"/>
      <c r="F15" s="67"/>
    </row>
    <row r="16" spans="1:6" ht="15" customHeight="1">
      <c r="A16" s="282" t="s">
        <v>409</v>
      </c>
      <c r="B16" s="283"/>
      <c r="C16" s="283"/>
      <c r="D16" s="283"/>
      <c r="E16" s="283"/>
      <c r="F16" s="67"/>
    </row>
    <row r="17" spans="1:10" ht="15" customHeight="1">
      <c r="A17" s="282" t="s">
        <v>410</v>
      </c>
      <c r="B17" s="283"/>
      <c r="C17" s="283"/>
      <c r="D17" s="283"/>
      <c r="E17" s="283"/>
      <c r="F17" s="67"/>
    </row>
    <row r="18" spans="1:10" ht="15" customHeight="1">
      <c r="A18" s="282" t="s">
        <v>411</v>
      </c>
      <c r="B18" s="283"/>
      <c r="C18" s="283"/>
      <c r="D18" s="283"/>
      <c r="E18" s="283"/>
      <c r="F18" s="67"/>
    </row>
    <row r="19" spans="1:10" ht="15" customHeight="1">
      <c r="A19" s="282" t="s">
        <v>412</v>
      </c>
      <c r="B19" s="283"/>
      <c r="C19" s="283"/>
      <c r="D19" s="283"/>
      <c r="E19" s="283"/>
      <c r="F19" s="67"/>
    </row>
    <row r="20" spans="1:10" ht="15" customHeight="1">
      <c r="A20" s="282" t="s">
        <v>413</v>
      </c>
      <c r="B20" s="283"/>
      <c r="C20" s="283"/>
      <c r="D20" s="283"/>
      <c r="E20" s="283"/>
      <c r="F20" s="67"/>
    </row>
    <row r="21" spans="1:10" ht="15" customHeight="1">
      <c r="A21" s="288" t="s">
        <v>414</v>
      </c>
      <c r="B21" s="289">
        <f>B13+B20</f>
        <v>18359618</v>
      </c>
      <c r="C21" s="289">
        <f>C13+C20</f>
        <v>23390724</v>
      </c>
      <c r="D21" s="289">
        <f>D13+D20</f>
        <v>17135942</v>
      </c>
      <c r="E21" s="289">
        <f>E13+E20</f>
        <v>15733853</v>
      </c>
      <c r="F21" s="290">
        <f t="shared" si="0"/>
        <v>74620137</v>
      </c>
    </row>
    <row r="22" spans="1:10" ht="15" customHeight="1">
      <c r="A22" s="282" t="s">
        <v>415</v>
      </c>
      <c r="B22" s="283">
        <v>18359618</v>
      </c>
      <c r="C22" s="283">
        <v>23390724</v>
      </c>
      <c r="D22" s="283">
        <v>17135942</v>
      </c>
      <c r="E22" s="283">
        <v>15733853</v>
      </c>
      <c r="F22" s="67">
        <f>SUM(B22:E22)</f>
        <v>74620137</v>
      </c>
    </row>
    <row r="23" spans="1:10" ht="15" customHeight="1">
      <c r="A23" s="282" t="s">
        <v>416</v>
      </c>
      <c r="B23" s="283">
        <f>B13-B22</f>
        <v>0</v>
      </c>
      <c r="C23" s="283">
        <f>C13-C22</f>
        <v>0</v>
      </c>
      <c r="D23" s="283">
        <f>D13-D22</f>
        <v>0</v>
      </c>
      <c r="E23" s="283">
        <f>E13-E22</f>
        <v>0</v>
      </c>
      <c r="F23" s="67">
        <f t="shared" si="0"/>
        <v>0</v>
      </c>
    </row>
    <row r="24" spans="1:10" ht="15" customHeight="1">
      <c r="A24" s="282" t="s">
        <v>417</v>
      </c>
      <c r="B24" s="283"/>
      <c r="C24" s="129"/>
      <c r="D24" s="129"/>
      <c r="E24" s="129"/>
      <c r="F24" s="129"/>
    </row>
    <row r="25" spans="1:10" ht="15" customHeight="1">
      <c r="A25" s="282" t="s">
        <v>418</v>
      </c>
      <c r="B25" s="283"/>
      <c r="C25" s="129"/>
      <c r="D25" s="129"/>
      <c r="E25" s="129"/>
      <c r="F25" s="129"/>
    </row>
    <row r="26" spans="1:10">
      <c r="A26" s="869" t="s">
        <v>466</v>
      </c>
      <c r="B26" s="869"/>
      <c r="C26" s="869"/>
      <c r="D26" s="869"/>
      <c r="E26" s="869"/>
      <c r="F26" s="869"/>
    </row>
    <row r="27" spans="1:10" ht="132.75" customHeight="1">
      <c r="A27" s="870"/>
      <c r="B27" s="870"/>
      <c r="C27" s="870"/>
      <c r="D27" s="870"/>
      <c r="E27" s="870"/>
      <c r="F27" s="870"/>
    </row>
    <row r="28" spans="1:10">
      <c r="A28" s="729" t="s">
        <v>1041</v>
      </c>
      <c r="B28" s="729"/>
      <c r="C28" s="729"/>
      <c r="D28" s="729"/>
      <c r="E28" s="729"/>
      <c r="F28" s="309"/>
    </row>
    <row r="29" spans="1:10">
      <c r="A29" s="729" t="s">
        <v>1096</v>
      </c>
      <c r="B29" s="729"/>
      <c r="C29" s="729"/>
      <c r="D29" s="729"/>
      <c r="E29" s="729"/>
      <c r="F29" s="309"/>
    </row>
    <row r="30" spans="1:10">
      <c r="A30" s="46"/>
      <c r="B30" s="46"/>
      <c r="C30" s="94"/>
      <c r="D30" s="94"/>
      <c r="E30" s="94"/>
      <c r="F30" s="94"/>
    </row>
    <row r="31" spans="1:10">
      <c r="A31" s="217"/>
      <c r="B31" s="217"/>
      <c r="C31" s="280"/>
      <c r="D31" s="280"/>
      <c r="E31" s="280"/>
      <c r="F31" s="280"/>
    </row>
    <row r="32" spans="1:10">
      <c r="A32" s="217"/>
      <c r="B32" s="281"/>
      <c r="C32" s="281"/>
      <c r="D32" s="839" t="s">
        <v>238</v>
      </c>
      <c r="E32" s="839"/>
      <c r="F32" s="868"/>
      <c r="G32" s="868"/>
      <c r="H32" s="868"/>
      <c r="I32" s="868"/>
      <c r="J32" s="868"/>
    </row>
    <row r="33" spans="1:20" ht="45" customHeight="1">
      <c r="A33" s="162"/>
      <c r="B33" s="248" t="s">
        <v>455</v>
      </c>
      <c r="C33" s="248" t="s">
        <v>456</v>
      </c>
      <c r="D33" s="248" t="s">
        <v>457</v>
      </c>
      <c r="E33" s="248" t="s">
        <v>458</v>
      </c>
      <c r="F33" s="868"/>
      <c r="G33" s="868"/>
      <c r="H33" s="868"/>
      <c r="I33" s="868"/>
      <c r="J33" s="868"/>
    </row>
    <row r="34" spans="1:20" ht="15" customHeight="1">
      <c r="A34" s="249" t="s">
        <v>453</v>
      </c>
      <c r="B34" s="283">
        <v>11450830</v>
      </c>
      <c r="C34" s="283">
        <v>402333071</v>
      </c>
      <c r="D34" s="283">
        <v>400795255</v>
      </c>
      <c r="E34" s="283">
        <f>SUM(B34+C34-D34)</f>
        <v>12988646</v>
      </c>
      <c r="F34" s="868"/>
      <c r="G34" s="868"/>
      <c r="H34" s="868"/>
      <c r="I34" s="868"/>
      <c r="J34" s="868"/>
    </row>
    <row r="35" spans="1:20" ht="31.15" customHeight="1">
      <c r="A35" s="249" t="s">
        <v>1000</v>
      </c>
      <c r="B35" s="283">
        <v>17806471</v>
      </c>
      <c r="C35" s="283">
        <v>13090311</v>
      </c>
      <c r="D35" s="283">
        <v>25604893</v>
      </c>
      <c r="E35" s="283">
        <f t="shared" ref="E35:E38" si="1">SUM(B35+C35-D35)</f>
        <v>5291889</v>
      </c>
      <c r="F35" s="868"/>
      <c r="G35" s="868"/>
      <c r="H35" s="868"/>
      <c r="I35" s="868"/>
      <c r="J35" s="868"/>
    </row>
    <row r="36" spans="1:20" ht="15" customHeight="1">
      <c r="A36" s="249" t="s">
        <v>1001</v>
      </c>
      <c r="B36" s="283">
        <v>92</v>
      </c>
      <c r="C36" s="283">
        <v>0</v>
      </c>
      <c r="D36" s="283">
        <v>0</v>
      </c>
      <c r="E36" s="283">
        <f t="shared" si="1"/>
        <v>92</v>
      </c>
      <c r="F36" s="868"/>
      <c r="G36" s="868"/>
      <c r="H36" s="868"/>
      <c r="I36" s="868"/>
      <c r="J36" s="868"/>
    </row>
    <row r="37" spans="1:20" ht="29.45" customHeight="1">
      <c r="A37" s="249" t="s">
        <v>1002</v>
      </c>
      <c r="B37" s="283">
        <v>405251</v>
      </c>
      <c r="C37" s="283">
        <v>0</v>
      </c>
      <c r="D37" s="283">
        <v>405251</v>
      </c>
      <c r="E37" s="283">
        <f t="shared" si="1"/>
        <v>0</v>
      </c>
      <c r="F37" s="868"/>
      <c r="G37" s="868"/>
      <c r="H37" s="868"/>
      <c r="I37" s="868"/>
      <c r="J37" s="868"/>
    </row>
    <row r="38" spans="1:20" ht="15" customHeight="1">
      <c r="A38" s="249" t="s">
        <v>999</v>
      </c>
      <c r="B38" s="283">
        <v>93999</v>
      </c>
      <c r="C38" s="501">
        <v>10</v>
      </c>
      <c r="D38" s="501">
        <v>10</v>
      </c>
      <c r="E38" s="283">
        <f t="shared" si="1"/>
        <v>93999</v>
      </c>
      <c r="F38" s="868"/>
      <c r="G38" s="868"/>
      <c r="H38" s="868"/>
      <c r="I38" s="868"/>
      <c r="J38" s="868"/>
    </row>
    <row r="39" spans="1:20" ht="15" customHeight="1">
      <c r="A39" s="252" t="s">
        <v>454</v>
      </c>
      <c r="B39" s="253">
        <f>SUM(B34:B38)</f>
        <v>29756643</v>
      </c>
      <c r="C39" s="253">
        <f>SUM(C34:C38)</f>
        <v>415423392</v>
      </c>
      <c r="D39" s="253">
        <f>SUM(D34:D38)</f>
        <v>426805409</v>
      </c>
      <c r="E39" s="253">
        <f>SUM(B39+C39-D39)</f>
        <v>18374626</v>
      </c>
      <c r="F39" s="868"/>
      <c r="G39" s="868"/>
      <c r="H39" s="868"/>
      <c r="I39" s="868"/>
      <c r="J39" s="868"/>
    </row>
    <row r="40" spans="1:20" ht="15" customHeight="1">
      <c r="A40" s="249" t="s">
        <v>460</v>
      </c>
      <c r="B40" s="283">
        <v>26781675</v>
      </c>
      <c r="C40" s="283">
        <v>207257242</v>
      </c>
      <c r="D40" s="283">
        <v>216960559</v>
      </c>
      <c r="E40" s="283">
        <f t="shared" ref="E40:E48" si="2">B40+C40-D40</f>
        <v>17078358</v>
      </c>
      <c r="F40" s="868"/>
      <c r="G40" s="868"/>
      <c r="H40" s="868"/>
      <c r="I40" s="868"/>
      <c r="J40" s="868"/>
      <c r="K40"/>
      <c r="L40"/>
      <c r="M40"/>
      <c r="N40"/>
      <c r="O40"/>
      <c r="P40"/>
      <c r="Q40"/>
      <c r="R40"/>
      <c r="S40"/>
      <c r="T40"/>
    </row>
    <row r="41" spans="1:20" ht="15" customHeight="1">
      <c r="A41" s="249" t="s">
        <v>463</v>
      </c>
      <c r="B41" s="283">
        <v>3511673</v>
      </c>
      <c r="C41" s="283">
        <v>7028701</v>
      </c>
      <c r="D41" s="283">
        <v>10537560</v>
      </c>
      <c r="E41" s="283">
        <f t="shared" si="2"/>
        <v>2814</v>
      </c>
      <c r="F41" s="868"/>
      <c r="G41" s="868"/>
      <c r="H41" s="868"/>
      <c r="I41" s="868"/>
      <c r="J41" s="868"/>
      <c r="K41"/>
      <c r="L41"/>
      <c r="M41"/>
      <c r="N41"/>
      <c r="O41"/>
      <c r="P41"/>
      <c r="Q41"/>
      <c r="R41"/>
      <c r="S41"/>
      <c r="T41"/>
    </row>
    <row r="42" spans="1:20" ht="15" customHeight="1">
      <c r="A42" s="252" t="s">
        <v>459</v>
      </c>
      <c r="B42" s="253">
        <f>SUM(B40:B41)</f>
        <v>30293348</v>
      </c>
      <c r="C42" s="253">
        <f>SUM(C40:C41)</f>
        <v>214285943</v>
      </c>
      <c r="D42" s="253">
        <f>SUM(D40:D41)</f>
        <v>227498119</v>
      </c>
      <c r="E42" s="253">
        <f>B42+C42-D42</f>
        <v>17081172</v>
      </c>
      <c r="F42" s="868"/>
      <c r="G42" s="868"/>
      <c r="H42" s="868"/>
      <c r="I42" s="868"/>
      <c r="J42" s="868"/>
    </row>
    <row r="43" spans="1:20" ht="15" customHeight="1">
      <c r="A43" s="249" t="s">
        <v>461</v>
      </c>
      <c r="B43" s="283">
        <v>21309570</v>
      </c>
      <c r="C43" s="283">
        <v>124981757</v>
      </c>
      <c r="D43" s="283">
        <v>122561145</v>
      </c>
      <c r="E43" s="283">
        <f>SUM(B43+C43-D43)</f>
        <v>23730182</v>
      </c>
      <c r="F43" s="868"/>
      <c r="G43" s="868"/>
      <c r="H43" s="868"/>
      <c r="I43" s="868"/>
      <c r="J43" s="868"/>
      <c r="K43"/>
      <c r="L43"/>
      <c r="M43"/>
      <c r="N43"/>
      <c r="O43"/>
      <c r="P43"/>
      <c r="Q43"/>
      <c r="R43"/>
      <c r="S43"/>
      <c r="T43"/>
    </row>
    <row r="44" spans="1:20" ht="28.15" customHeight="1">
      <c r="A44" s="249" t="s">
        <v>1000</v>
      </c>
      <c r="B44" s="283">
        <v>1472043</v>
      </c>
      <c r="C44" s="283">
        <v>6680226</v>
      </c>
      <c r="D44" s="283">
        <v>8148928</v>
      </c>
      <c r="E44" s="283">
        <f t="shared" ref="E44:E45" si="3">SUM(B44+C44-D44)</f>
        <v>3341</v>
      </c>
      <c r="F44" s="868"/>
      <c r="G44" s="868"/>
      <c r="H44" s="868"/>
      <c r="I44" s="868"/>
      <c r="J44" s="868"/>
      <c r="K44"/>
      <c r="L44"/>
      <c r="M44"/>
      <c r="N44"/>
      <c r="O44"/>
      <c r="P44"/>
      <c r="Q44"/>
      <c r="R44"/>
      <c r="S44"/>
      <c r="T44"/>
    </row>
    <row r="45" spans="1:20" ht="15" customHeight="1">
      <c r="A45" s="249" t="s">
        <v>1001</v>
      </c>
      <c r="B45" s="283">
        <v>90</v>
      </c>
      <c r="C45" s="283">
        <v>0</v>
      </c>
      <c r="D45" s="283">
        <v>0</v>
      </c>
      <c r="E45" s="283">
        <f t="shared" si="3"/>
        <v>90</v>
      </c>
      <c r="F45" s="868"/>
      <c r="G45" s="868"/>
      <c r="H45" s="868"/>
      <c r="I45" s="868"/>
      <c r="J45" s="868"/>
      <c r="K45"/>
      <c r="L45"/>
      <c r="M45"/>
      <c r="N45"/>
      <c r="O45"/>
      <c r="P45"/>
      <c r="Q45"/>
      <c r="R45"/>
      <c r="S45"/>
      <c r="T45"/>
    </row>
    <row r="46" spans="1:20" ht="15" customHeight="1">
      <c r="A46" s="252" t="s">
        <v>462</v>
      </c>
      <c r="B46" s="253">
        <f>SUM(B43:B45)</f>
        <v>22781703</v>
      </c>
      <c r="C46" s="253">
        <f>SUM(C43:C45)</f>
        <v>131661983</v>
      </c>
      <c r="D46" s="253">
        <f>SUM(D43:D45)</f>
        <v>130710073</v>
      </c>
      <c r="E46" s="253">
        <f>SUM(B46+C46-D46)</f>
        <v>23733613</v>
      </c>
      <c r="F46" s="868"/>
      <c r="G46" s="868"/>
      <c r="H46" s="868"/>
      <c r="I46" s="868"/>
      <c r="J46" s="868"/>
    </row>
    <row r="47" spans="1:20" ht="15" customHeight="1">
      <c r="A47" s="249" t="s">
        <v>465</v>
      </c>
      <c r="B47" s="283">
        <v>6881986</v>
      </c>
      <c r="C47" s="283">
        <v>77359646</v>
      </c>
      <c r="D47" s="283">
        <v>68842393</v>
      </c>
      <c r="E47" s="283">
        <f>+B47+C47-D47</f>
        <v>15399239</v>
      </c>
      <c r="F47" s="868"/>
      <c r="G47" s="868"/>
      <c r="H47" s="868"/>
      <c r="I47" s="868"/>
      <c r="J47" s="868"/>
    </row>
    <row r="48" spans="1:20" ht="15" customHeight="1">
      <c r="A48" s="249" t="s">
        <v>463</v>
      </c>
      <c r="B48" s="283">
        <v>1</v>
      </c>
      <c r="C48" s="283">
        <v>1137575</v>
      </c>
      <c r="D48" s="283">
        <v>1137576</v>
      </c>
      <c r="E48" s="283">
        <f t="shared" si="2"/>
        <v>0</v>
      </c>
      <c r="F48" s="868"/>
      <c r="G48" s="868"/>
      <c r="H48" s="868"/>
      <c r="I48" s="868"/>
      <c r="J48" s="868"/>
    </row>
    <row r="49" spans="1:10" ht="15" customHeight="1">
      <c r="A49" s="252" t="s">
        <v>464</v>
      </c>
      <c r="B49" s="253">
        <f>SUM(B47:B48)</f>
        <v>6881987</v>
      </c>
      <c r="C49" s="253">
        <f>SUM(C47:C48)</f>
        <v>78497221</v>
      </c>
      <c r="D49" s="253">
        <f>SUM(D47:D48)</f>
        <v>69979969</v>
      </c>
      <c r="E49" s="253">
        <f>B49+C49-D49</f>
        <v>15399239</v>
      </c>
      <c r="F49" s="868"/>
      <c r="G49" s="868"/>
      <c r="H49" s="868"/>
      <c r="I49" s="868"/>
      <c r="J49" s="868"/>
    </row>
    <row r="50" spans="1:10" ht="15" customHeight="1">
      <c r="A50" s="288" t="s">
        <v>73</v>
      </c>
      <c r="B50" s="289">
        <f>SUM(B49,B46,B42,B39)</f>
        <v>89713681</v>
      </c>
      <c r="C50" s="289">
        <f>SUM(C39,C46,C42,C49)</f>
        <v>839868539</v>
      </c>
      <c r="D50" s="289">
        <f>SUM(D39,D46,D42,D49)</f>
        <v>854993570</v>
      </c>
      <c r="E50" s="289">
        <f>E39+E42+E46+E49</f>
        <v>74588650</v>
      </c>
      <c r="F50" s="868"/>
      <c r="G50" s="868"/>
      <c r="H50" s="868"/>
      <c r="I50" s="868"/>
      <c r="J50" s="868"/>
    </row>
    <row r="51" spans="1:10">
      <c r="E51" s="332"/>
      <c r="F51" s="868"/>
      <c r="G51" s="868"/>
      <c r="H51" s="868"/>
      <c r="I51" s="868"/>
      <c r="J51" s="868"/>
    </row>
    <row r="53" spans="1:10">
      <c r="B53" s="408"/>
    </row>
    <row r="55" spans="1:10">
      <c r="B55" s="408"/>
    </row>
  </sheetData>
  <mergeCells count="8">
    <mergeCell ref="D32:E32"/>
    <mergeCell ref="F32:J51"/>
    <mergeCell ref="A28:E28"/>
    <mergeCell ref="A29:E29"/>
    <mergeCell ref="A1:F1"/>
    <mergeCell ref="A2:F2"/>
    <mergeCell ref="E5:F5"/>
    <mergeCell ref="A26:F27"/>
  </mergeCells>
  <phoneticPr fontId="0" type="noConversion"/>
  <printOptions horizontalCentered="1"/>
  <pageMargins left="0.33" right="0.46" top="0.55118110236220474" bottom="0.55118110236220474" header="0.31496062992125984" footer="0.51181102362204722"/>
  <pageSetup paperSize="9" scale="64" orientation="portrait" r:id="rId1"/>
  <headerFooter alignWithMargins="0">
    <oddHeader>&amp;R7. számú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4" tint="0.59999389629810485"/>
  </sheetPr>
  <dimension ref="A1:Z102"/>
  <sheetViews>
    <sheetView zoomScaleSheetLayoutView="100" workbookViewId="0">
      <selection activeCell="K53" sqref="K53"/>
    </sheetView>
  </sheetViews>
  <sheetFormatPr defaultRowHeight="12.75"/>
  <cols>
    <col min="1" max="1" width="5.42578125" customWidth="1"/>
    <col min="2" max="2" width="57.42578125" customWidth="1"/>
    <col min="3" max="5" width="18.42578125" bestFit="1" customWidth="1"/>
    <col min="6" max="26" width="9.140625" style="46" customWidth="1"/>
  </cols>
  <sheetData>
    <row r="1" spans="1:26">
      <c r="A1" s="729" t="s">
        <v>1101</v>
      </c>
      <c r="B1" s="871"/>
      <c r="C1" s="871"/>
      <c r="D1" s="871"/>
      <c r="E1" s="871"/>
    </row>
    <row r="2" spans="1:26">
      <c r="A2" s="729" t="s">
        <v>1102</v>
      </c>
      <c r="B2" s="871"/>
      <c r="C2" s="871"/>
      <c r="D2" s="871"/>
      <c r="E2" s="871"/>
    </row>
    <row r="3" spans="1:26">
      <c r="A3" s="742" t="s">
        <v>23</v>
      </c>
      <c r="B3" s="871"/>
      <c r="C3" s="871"/>
      <c r="D3" s="871"/>
      <c r="E3" s="871"/>
    </row>
    <row r="4" spans="1:26">
      <c r="A4" s="547"/>
      <c r="B4" s="547"/>
      <c r="C4" s="547"/>
      <c r="D4" s="547"/>
      <c r="E4" s="547"/>
    </row>
    <row r="5" spans="1:26" ht="0.75" customHeight="1">
      <c r="A5" s="547"/>
      <c r="B5" s="547"/>
      <c r="C5" s="547"/>
      <c r="D5" s="547"/>
      <c r="E5" s="547"/>
    </row>
    <row r="6" spans="1:26" ht="22.5" customHeight="1">
      <c r="A6" s="836" t="s">
        <v>238</v>
      </c>
      <c r="B6" s="836"/>
      <c r="C6" s="836"/>
      <c r="D6" s="836"/>
      <c r="E6" s="836"/>
    </row>
    <row r="7" spans="1:26" s="20" customFormat="1">
      <c r="A7" s="872" t="s">
        <v>139</v>
      </c>
      <c r="B7" s="732" t="s">
        <v>134</v>
      </c>
      <c r="C7" s="544" t="s">
        <v>171</v>
      </c>
      <c r="D7" s="544" t="s">
        <v>135</v>
      </c>
      <c r="E7" s="732" t="s">
        <v>138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</row>
    <row r="8" spans="1:26" s="20" customFormat="1">
      <c r="A8" s="872"/>
      <c r="B8" s="732"/>
      <c r="C8" s="732" t="s">
        <v>136</v>
      </c>
      <c r="D8" s="732"/>
      <c r="E8" s="732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</row>
    <row r="9" spans="1:26">
      <c r="A9" s="548" t="s">
        <v>141</v>
      </c>
      <c r="B9" s="3" t="s">
        <v>155</v>
      </c>
      <c r="C9" s="5">
        <v>434264539</v>
      </c>
      <c r="D9" s="5">
        <v>424897218</v>
      </c>
      <c r="E9" s="5">
        <v>403210160</v>
      </c>
    </row>
    <row r="10" spans="1:26">
      <c r="A10" s="548" t="s">
        <v>142</v>
      </c>
      <c r="B10" s="3" t="s">
        <v>156</v>
      </c>
      <c r="C10" s="5">
        <v>67154725</v>
      </c>
      <c r="D10" s="5">
        <v>69832348</v>
      </c>
      <c r="E10" s="5">
        <v>66490109</v>
      </c>
    </row>
    <row r="11" spans="1:26">
      <c r="A11" s="548" t="s">
        <v>143</v>
      </c>
      <c r="B11" s="3" t="s">
        <v>6</v>
      </c>
      <c r="C11" s="5">
        <v>131636196</v>
      </c>
      <c r="D11" s="5">
        <v>153116865</v>
      </c>
      <c r="E11" s="5">
        <v>104603326</v>
      </c>
    </row>
    <row r="12" spans="1:26">
      <c r="A12" s="548" t="s">
        <v>147</v>
      </c>
      <c r="B12" s="3" t="s">
        <v>130</v>
      </c>
      <c r="C12" s="5">
        <v>53255565</v>
      </c>
      <c r="D12" s="5">
        <v>66413932</v>
      </c>
      <c r="E12" s="5">
        <v>66413932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>
      <c r="A13" s="548" t="s">
        <v>148</v>
      </c>
      <c r="B13" s="3" t="s">
        <v>896</v>
      </c>
      <c r="C13" s="5">
        <v>0</v>
      </c>
      <c r="D13" s="5">
        <v>1050000</v>
      </c>
      <c r="E13" s="5">
        <v>1050000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>
      <c r="A14" s="548" t="s">
        <v>149</v>
      </c>
      <c r="B14" s="3" t="s">
        <v>436</v>
      </c>
      <c r="C14" s="5"/>
      <c r="D14" s="5"/>
      <c r="E14" s="5"/>
    </row>
    <row r="15" spans="1:26">
      <c r="A15" s="548" t="s">
        <v>150</v>
      </c>
      <c r="B15" s="3" t="s">
        <v>240</v>
      </c>
      <c r="C15" s="5"/>
      <c r="D15" s="5"/>
      <c r="E15" s="5"/>
    </row>
    <row r="16" spans="1:26">
      <c r="A16" s="548" t="s">
        <v>151</v>
      </c>
      <c r="B16" s="3" t="s">
        <v>7</v>
      </c>
      <c r="C16" s="5">
        <v>2024233</v>
      </c>
      <c r="D16" s="5">
        <v>2024233</v>
      </c>
      <c r="E16" s="5">
        <v>1877856</v>
      </c>
    </row>
    <row r="17" spans="1:26">
      <c r="A17" s="548" t="s">
        <v>152</v>
      </c>
      <c r="B17" s="3" t="s">
        <v>850</v>
      </c>
      <c r="C17" s="5">
        <v>842530</v>
      </c>
      <c r="D17" s="5">
        <v>1083231</v>
      </c>
      <c r="E17" s="5">
        <v>1052307</v>
      </c>
    </row>
    <row r="18" spans="1:26">
      <c r="A18" s="548" t="s">
        <v>218</v>
      </c>
      <c r="B18" s="3" t="s">
        <v>1015</v>
      </c>
      <c r="C18" s="5"/>
      <c r="D18" s="5"/>
      <c r="E18" s="5"/>
    </row>
    <row r="19" spans="1:26">
      <c r="A19" s="548" t="s">
        <v>219</v>
      </c>
      <c r="B19" s="3" t="s">
        <v>1014</v>
      </c>
      <c r="C19" s="5">
        <v>900000</v>
      </c>
      <c r="D19" s="5">
        <v>900000</v>
      </c>
      <c r="E19" s="5">
        <v>0</v>
      </c>
    </row>
    <row r="20" spans="1:26">
      <c r="A20" s="548" t="s">
        <v>220</v>
      </c>
      <c r="B20" s="3" t="s">
        <v>8</v>
      </c>
      <c r="C20" s="5"/>
      <c r="D20" s="5"/>
      <c r="E20" s="5"/>
    </row>
    <row r="21" spans="1:26">
      <c r="A21" s="548" t="s">
        <v>221</v>
      </c>
      <c r="B21" s="3" t="s">
        <v>131</v>
      </c>
      <c r="C21" s="16"/>
      <c r="D21" s="16"/>
      <c r="E21" s="5"/>
    </row>
    <row r="22" spans="1:26" s="2" customFormat="1">
      <c r="A22" s="548" t="s">
        <v>222</v>
      </c>
      <c r="B22" s="9" t="s">
        <v>468</v>
      </c>
      <c r="C22" s="14">
        <f>SUM(C9:C21)</f>
        <v>690077788</v>
      </c>
      <c r="D22" s="14">
        <f>SUM(D9:D21)</f>
        <v>719317827</v>
      </c>
      <c r="E22" s="14">
        <f>SUM(E9:E21)</f>
        <v>644697690</v>
      </c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spans="1:26">
      <c r="A23" s="548" t="s">
        <v>223</v>
      </c>
      <c r="B23" s="3" t="s">
        <v>9</v>
      </c>
      <c r="C23" s="5"/>
      <c r="D23" s="5"/>
      <c r="E23" s="5"/>
    </row>
    <row r="24" spans="1:26">
      <c r="A24" s="548" t="s">
        <v>224</v>
      </c>
      <c r="B24" s="3" t="s">
        <v>0</v>
      </c>
      <c r="C24" s="5"/>
      <c r="D24" s="5"/>
      <c r="E24" s="5"/>
    </row>
    <row r="25" spans="1:26">
      <c r="A25" s="548" t="s">
        <v>225</v>
      </c>
      <c r="B25" s="630" t="s">
        <v>1106</v>
      </c>
      <c r="C25" s="5"/>
      <c r="D25" s="5">
        <v>242110</v>
      </c>
      <c r="E25" s="5">
        <v>242110</v>
      </c>
    </row>
    <row r="26" spans="1:26">
      <c r="A26" s="548" t="s">
        <v>226</v>
      </c>
      <c r="B26" s="546" t="s">
        <v>1105</v>
      </c>
      <c r="C26" s="5">
        <v>368611389</v>
      </c>
      <c r="D26" s="5">
        <v>388199158</v>
      </c>
      <c r="E26" s="5">
        <v>388199158</v>
      </c>
    </row>
    <row r="27" spans="1:26" s="2" customFormat="1">
      <c r="A27" s="548" t="s">
        <v>227</v>
      </c>
      <c r="B27" s="9" t="s">
        <v>469</v>
      </c>
      <c r="C27" s="14">
        <f>SUM(C26)</f>
        <v>368611389</v>
      </c>
      <c r="D27" s="14">
        <f>SUM(D25:D26)</f>
        <v>388441268</v>
      </c>
      <c r="E27" s="14">
        <f>SUM(E25:E26)</f>
        <v>388441268</v>
      </c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spans="1:26" s="2" customFormat="1">
      <c r="A28" s="548" t="s">
        <v>228</v>
      </c>
      <c r="B28" s="9" t="s">
        <v>470</v>
      </c>
      <c r="C28" s="14">
        <f>SUM(C22,C27)</f>
        <v>1058689177</v>
      </c>
      <c r="D28" s="14">
        <f>SUM(D22,D27)</f>
        <v>1107759095</v>
      </c>
      <c r="E28" s="14">
        <f>SUM(E22,E27)</f>
        <v>1033138958</v>
      </c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spans="1:26">
      <c r="A29" s="548" t="s">
        <v>229</v>
      </c>
      <c r="B29" s="3" t="s">
        <v>10</v>
      </c>
      <c r="C29" s="5"/>
      <c r="D29" s="5"/>
      <c r="E29" s="5"/>
    </row>
    <row r="30" spans="1:26">
      <c r="A30" s="548" t="s">
        <v>230</v>
      </c>
      <c r="B30" s="3" t="s">
        <v>11</v>
      </c>
      <c r="C30" s="16"/>
      <c r="D30" s="16"/>
      <c r="E30" s="5">
        <v>405044</v>
      </c>
    </row>
    <row r="31" spans="1:26" s="195" customFormat="1" ht="20.25" customHeight="1">
      <c r="A31" s="196" t="s">
        <v>231</v>
      </c>
      <c r="B31" s="182" t="s">
        <v>179</v>
      </c>
      <c r="C31" s="183">
        <f>SUM(C28:C30)</f>
        <v>1058689177</v>
      </c>
      <c r="D31" s="183">
        <f>SUM(D28:D30)</f>
        <v>1107759095</v>
      </c>
      <c r="E31" s="183">
        <f>SUM(E28:E30)</f>
        <v>1033544002</v>
      </c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</row>
    <row r="32" spans="1:26">
      <c r="A32" s="548" t="s">
        <v>929</v>
      </c>
      <c r="B32" s="3" t="s">
        <v>12</v>
      </c>
      <c r="C32" s="5">
        <v>33374724</v>
      </c>
      <c r="D32" s="5">
        <v>34546345</v>
      </c>
      <c r="E32" s="5">
        <v>34546345</v>
      </c>
    </row>
    <row r="33" spans="1:26">
      <c r="A33" s="548" t="s">
        <v>930</v>
      </c>
      <c r="B33" s="3" t="s">
        <v>181</v>
      </c>
      <c r="C33" s="5"/>
      <c r="D33" s="5"/>
      <c r="E33" s="5"/>
    </row>
    <row r="34" spans="1:26">
      <c r="A34" s="548" t="s">
        <v>931</v>
      </c>
      <c r="B34" s="3" t="s">
        <v>133</v>
      </c>
      <c r="C34" s="5">
        <v>566895048</v>
      </c>
      <c r="D34" s="5">
        <v>594721356</v>
      </c>
      <c r="E34" s="5">
        <v>594721356</v>
      </c>
    </row>
    <row r="35" spans="1:26">
      <c r="A35" s="548" t="s">
        <v>932</v>
      </c>
      <c r="B35" s="3" t="s">
        <v>13</v>
      </c>
      <c r="C35" s="5"/>
      <c r="D35" s="5"/>
      <c r="E35" s="5"/>
    </row>
    <row r="36" spans="1:26">
      <c r="A36" s="548" t="s">
        <v>933</v>
      </c>
      <c r="B36" s="3" t="s">
        <v>897</v>
      </c>
      <c r="C36" s="5">
        <v>0</v>
      </c>
      <c r="D36" s="5">
        <v>0</v>
      </c>
      <c r="E36" s="5">
        <v>0</v>
      </c>
    </row>
    <row r="37" spans="1:26" s="4" customFormat="1">
      <c r="A37" s="548" t="s">
        <v>934</v>
      </c>
      <c r="B37" s="7" t="s">
        <v>14</v>
      </c>
      <c r="C37" s="8"/>
      <c r="D37" s="8"/>
      <c r="E37" s="8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>
      <c r="A38" s="548" t="s">
        <v>935</v>
      </c>
      <c r="B38" s="3" t="s">
        <v>15</v>
      </c>
      <c r="C38" s="5">
        <v>892917</v>
      </c>
      <c r="D38" s="5">
        <v>1135027</v>
      </c>
      <c r="E38" s="5">
        <v>1135027</v>
      </c>
    </row>
    <row r="39" spans="1:26">
      <c r="A39" s="548" t="s">
        <v>936</v>
      </c>
      <c r="B39" s="3" t="s">
        <v>16</v>
      </c>
      <c r="C39" s="5"/>
      <c r="D39" s="5"/>
      <c r="E39" s="5"/>
    </row>
    <row r="40" spans="1:26">
      <c r="A40" s="548" t="s">
        <v>937</v>
      </c>
      <c r="B40" s="3" t="s">
        <v>17</v>
      </c>
      <c r="C40" s="5"/>
      <c r="D40" s="5"/>
      <c r="E40" s="5"/>
    </row>
    <row r="41" spans="1:26" s="4" customFormat="1">
      <c r="A41" s="548" t="s">
        <v>938</v>
      </c>
      <c r="B41" s="7" t="s">
        <v>478</v>
      </c>
      <c r="C41" s="8"/>
      <c r="D41" s="8"/>
      <c r="E41" s="8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>
      <c r="A42" s="548" t="s">
        <v>939</v>
      </c>
      <c r="B42" s="3" t="s">
        <v>132</v>
      </c>
      <c r="C42" s="16"/>
      <c r="D42" s="16"/>
      <c r="E42" s="5"/>
    </row>
    <row r="43" spans="1:26" s="2" customFormat="1" ht="12.75" customHeight="1">
      <c r="A43" s="548" t="s">
        <v>940</v>
      </c>
      <c r="B43" s="13" t="s">
        <v>471</v>
      </c>
      <c r="C43" s="14">
        <f>SUM(C32:C36)+C38+C39+C40</f>
        <v>601162689</v>
      </c>
      <c r="D43" s="14">
        <f>SUM(D32:D36)+D38+D39+D40</f>
        <v>630402728</v>
      </c>
      <c r="E43" s="14">
        <f>SUM(E32:E36)+E38+E39+E40</f>
        <v>630402728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</row>
    <row r="44" spans="1:26" s="2" customFormat="1" ht="12.75" customHeight="1">
      <c r="A44" s="727" t="s">
        <v>941</v>
      </c>
      <c r="B44" s="9" t="s">
        <v>1177</v>
      </c>
      <c r="C44" s="14">
        <v>0</v>
      </c>
      <c r="D44" s="14">
        <v>242110</v>
      </c>
      <c r="E44" s="14">
        <v>242110</v>
      </c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</row>
    <row r="45" spans="1:26" s="2" customFormat="1">
      <c r="A45" s="548" t="s">
        <v>942</v>
      </c>
      <c r="B45" s="9" t="s">
        <v>1178</v>
      </c>
      <c r="C45" s="14">
        <v>368611389</v>
      </c>
      <c r="D45" s="14">
        <f>388441268-242110</f>
        <v>388199158</v>
      </c>
      <c r="E45" s="14">
        <f>388441268-242110</f>
        <v>388199158</v>
      </c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</row>
    <row r="46" spans="1:26">
      <c r="A46" s="548" t="s">
        <v>943</v>
      </c>
      <c r="B46" s="546" t="s">
        <v>186</v>
      </c>
      <c r="C46" s="5">
        <v>88915099</v>
      </c>
      <c r="D46" s="5">
        <v>88915099</v>
      </c>
      <c r="E46" s="5">
        <v>88915099</v>
      </c>
    </row>
    <row r="47" spans="1:26">
      <c r="A47" s="548" t="s">
        <v>944</v>
      </c>
      <c r="B47" s="3" t="s">
        <v>125</v>
      </c>
      <c r="C47" s="16"/>
      <c r="D47" s="16"/>
      <c r="E47" s="5"/>
    </row>
    <row r="48" spans="1:26">
      <c r="A48" s="548" t="s">
        <v>945</v>
      </c>
      <c r="B48" s="9" t="s">
        <v>472</v>
      </c>
      <c r="C48" s="311">
        <f>C43+C46+C45</f>
        <v>1058689177</v>
      </c>
      <c r="D48" s="311">
        <f>D43+D46+D45+D44</f>
        <v>1107759095</v>
      </c>
      <c r="E48" s="311">
        <f>E43+E46+E45+E44</f>
        <v>1107759095</v>
      </c>
    </row>
    <row r="49" spans="1:26">
      <c r="A49" s="548" t="s">
        <v>946</v>
      </c>
      <c r="B49" s="3" t="s">
        <v>21</v>
      </c>
      <c r="C49" s="16"/>
      <c r="D49" s="16"/>
      <c r="E49" s="5">
        <v>373557</v>
      </c>
    </row>
    <row r="50" spans="1:26" s="195" customFormat="1" ht="15.75">
      <c r="A50" s="469" t="s">
        <v>3</v>
      </c>
      <c r="B50" s="182" t="s">
        <v>22</v>
      </c>
      <c r="C50" s="183">
        <f>SUM(C48:C49)</f>
        <v>1058689177</v>
      </c>
      <c r="D50" s="183">
        <f>SUM(D48:D49)</f>
        <v>1107759095</v>
      </c>
      <c r="E50" s="183">
        <f>SUM(E48:E49)</f>
        <v>1108132652</v>
      </c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</row>
    <row r="51" spans="1:26" s="12" customFormat="1" ht="16.5" customHeight="1">
      <c r="A51" s="548" t="s">
        <v>4</v>
      </c>
      <c r="B51" s="545" t="s">
        <v>900</v>
      </c>
      <c r="C51" s="11"/>
      <c r="D51" s="11"/>
      <c r="E51" s="11">
        <f>E48-E28</f>
        <v>74620137</v>
      </c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</row>
    <row r="52" spans="1:26" s="2" customFormat="1">
      <c r="A52" s="548" t="s">
        <v>5</v>
      </c>
      <c r="B52" s="9" t="s">
        <v>467</v>
      </c>
      <c r="C52" s="14"/>
      <c r="D52" s="14"/>
      <c r="E52" s="14">
        <v>0</v>
      </c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</row>
    <row r="53" spans="1:26" s="2" customFormat="1">
      <c r="A53" s="548" t="s">
        <v>898</v>
      </c>
      <c r="B53" s="9" t="s">
        <v>899</v>
      </c>
      <c r="C53" s="17"/>
      <c r="D53" s="17"/>
      <c r="E53" s="14">
        <f>E49-E30</f>
        <v>-31487</v>
      </c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</row>
    <row r="54" spans="1:26" s="46" customFormat="1">
      <c r="A54" s="548" t="s">
        <v>1176</v>
      </c>
      <c r="B54" s="9" t="s">
        <v>1104</v>
      </c>
      <c r="C54" s="17"/>
      <c r="D54" s="17"/>
      <c r="E54" s="14">
        <f>E50-E31</f>
        <v>74588650</v>
      </c>
    </row>
    <row r="55" spans="1:26" s="46" customFormat="1"/>
    <row r="56" spans="1:26" s="46" customFormat="1"/>
    <row r="57" spans="1:26" s="46" customFormat="1"/>
    <row r="58" spans="1:26" s="46" customFormat="1"/>
    <row r="59" spans="1:26" s="46" customFormat="1"/>
    <row r="60" spans="1:26" s="46" customFormat="1"/>
    <row r="61" spans="1:26" s="46" customFormat="1"/>
    <row r="62" spans="1:26" s="46" customFormat="1"/>
    <row r="63" spans="1:26" s="46" customFormat="1"/>
    <row r="64" spans="1:26" s="46" customFormat="1"/>
    <row r="65" s="46" customFormat="1"/>
    <row r="66" s="46" customFormat="1"/>
    <row r="67" s="46" customFormat="1"/>
    <row r="68" s="46" customFormat="1"/>
    <row r="69" s="46" customFormat="1"/>
    <row r="70" s="46" customFormat="1"/>
    <row r="71" s="46" customFormat="1"/>
    <row r="72" s="46" customFormat="1"/>
    <row r="73" s="46" customFormat="1"/>
    <row r="74" s="46" customFormat="1"/>
    <row r="75" s="46" customFormat="1"/>
    <row r="76" s="46" customFormat="1"/>
    <row r="77" s="46" customFormat="1"/>
    <row r="78" s="46" customFormat="1"/>
    <row r="79" s="46" customFormat="1"/>
    <row r="80" s="46" customFormat="1"/>
    <row r="81" s="46" customFormat="1"/>
    <row r="82" s="46" customFormat="1"/>
    <row r="83" s="46" customFormat="1"/>
    <row r="84" s="46" customFormat="1"/>
    <row r="85" s="46" customFormat="1"/>
    <row r="86" s="46" customFormat="1"/>
    <row r="87" s="46" customFormat="1"/>
    <row r="88" s="46" customFormat="1"/>
    <row r="89" s="46" customFormat="1"/>
    <row r="90" s="46" customFormat="1"/>
    <row r="91" s="46" customFormat="1"/>
    <row r="92" s="46" customFormat="1"/>
    <row r="93" s="46" customFormat="1"/>
    <row r="94" s="46" customFormat="1"/>
    <row r="95" s="46" customFormat="1"/>
    <row r="96" s="46" customFormat="1"/>
    <row r="97" s="46" customFormat="1"/>
    <row r="98" s="46" customFormat="1"/>
    <row r="99" s="46" customFormat="1"/>
    <row r="100" s="46" customFormat="1"/>
    <row r="101" s="46" customFormat="1"/>
    <row r="102" s="46" customFormat="1"/>
  </sheetData>
  <mergeCells count="8">
    <mergeCell ref="A1:E1"/>
    <mergeCell ref="A2:E2"/>
    <mergeCell ref="A3:E3"/>
    <mergeCell ref="A6:E6"/>
    <mergeCell ref="A7:A8"/>
    <mergeCell ref="B7:B8"/>
    <mergeCell ref="E7:E8"/>
    <mergeCell ref="C8:D8"/>
  </mergeCells>
  <pageMargins left="0.62992125984251968" right="0.6692913385826772" top="0.6692913385826772" bottom="0.6692913385826772" header="0.35433070866141736" footer="0.51181102362204722"/>
  <pageSetup paperSize="9" scale="74" orientation="portrait" r:id="rId1"/>
  <headerFooter alignWithMargins="0">
    <oddHeader>&amp;R8. számú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18">
    <tabColor theme="4" tint="0.39997558519241921"/>
  </sheetPr>
  <dimension ref="A1:AA54"/>
  <sheetViews>
    <sheetView view="pageBreakPreview" topLeftCell="A4" zoomScaleNormal="100" zoomScaleSheetLayoutView="100" workbookViewId="0">
      <selection activeCell="A27" sqref="A27"/>
    </sheetView>
  </sheetViews>
  <sheetFormatPr defaultRowHeight="12.75"/>
  <cols>
    <col min="1" max="1" width="6" style="24" customWidth="1"/>
    <col min="2" max="2" width="45.85546875" style="24" customWidth="1"/>
    <col min="3" max="3" width="14.140625" style="24" customWidth="1"/>
    <col min="4" max="4" width="14.28515625" style="24" customWidth="1"/>
    <col min="5" max="5" width="11" style="24" customWidth="1"/>
    <col min="6" max="6" width="11.42578125" style="24" customWidth="1"/>
    <col min="7" max="7" width="10.7109375" style="24" customWidth="1"/>
    <col min="8" max="8" width="10.42578125" style="24" bestFit="1" customWidth="1"/>
    <col min="9" max="9" width="14.5703125" style="24" customWidth="1"/>
    <col min="10" max="10" width="9.140625" style="108"/>
    <col min="11" max="27" width="9.140625" style="46"/>
  </cols>
  <sheetData>
    <row r="1" spans="1:27">
      <c r="A1" s="873" t="s">
        <v>1041</v>
      </c>
      <c r="B1" s="873"/>
      <c r="C1" s="873"/>
      <c r="D1" s="873"/>
      <c r="E1" s="873"/>
      <c r="F1" s="873"/>
      <c r="G1" s="873"/>
      <c r="H1" s="873"/>
      <c r="I1" s="873"/>
    </row>
    <row r="2" spans="1:27" ht="12.75" customHeight="1">
      <c r="A2" s="874" t="s">
        <v>1092</v>
      </c>
      <c r="B2" s="873"/>
      <c r="C2" s="873"/>
      <c r="D2" s="873"/>
      <c r="E2" s="873"/>
      <c r="F2" s="873"/>
      <c r="G2" s="873"/>
      <c r="H2" s="873"/>
      <c r="I2" s="873"/>
    </row>
    <row r="3" spans="1:27" s="46" customFormat="1" ht="15.75" customHeight="1">
      <c r="A3" s="136"/>
      <c r="B3" s="137"/>
      <c r="C3" s="137"/>
      <c r="D3" s="137"/>
      <c r="E3" s="137"/>
      <c r="F3" s="137"/>
      <c r="G3" s="137"/>
      <c r="H3" s="137"/>
      <c r="I3" s="137"/>
      <c r="J3" s="108"/>
    </row>
    <row r="4" spans="1:27" ht="19.5" customHeight="1">
      <c r="A4" s="730" t="s">
        <v>238</v>
      </c>
      <c r="B4" s="730"/>
      <c r="C4" s="730"/>
      <c r="D4" s="730"/>
      <c r="E4" s="730"/>
      <c r="F4" s="730"/>
      <c r="G4" s="730"/>
      <c r="H4" s="730"/>
      <c r="I4" s="730"/>
    </row>
    <row r="5" spans="1:27" ht="12.75" customHeight="1">
      <c r="A5" s="731" t="s">
        <v>139</v>
      </c>
      <c r="B5" s="731" t="s">
        <v>84</v>
      </c>
      <c r="C5" s="731" t="s">
        <v>85</v>
      </c>
      <c r="D5" s="875" t="s">
        <v>86</v>
      </c>
      <c r="E5" s="875"/>
      <c r="F5" s="875"/>
      <c r="G5" s="875"/>
      <c r="H5" s="875"/>
      <c r="I5" s="731" t="s">
        <v>87</v>
      </c>
    </row>
    <row r="6" spans="1:27" ht="44.25" customHeight="1">
      <c r="A6" s="731"/>
      <c r="B6" s="731"/>
      <c r="C6" s="731"/>
      <c r="D6" s="632" t="s">
        <v>88</v>
      </c>
      <c r="E6" s="632" t="s">
        <v>89</v>
      </c>
      <c r="F6" s="632" t="s">
        <v>90</v>
      </c>
      <c r="G6" s="632" t="s">
        <v>91</v>
      </c>
      <c r="H6" s="632" t="s">
        <v>92</v>
      </c>
      <c r="I6" s="731"/>
    </row>
    <row r="7" spans="1:27" ht="13.5" customHeight="1">
      <c r="A7" s="641">
        <v>1</v>
      </c>
      <c r="B7" s="641">
        <v>2</v>
      </c>
      <c r="C7" s="641">
        <v>3</v>
      </c>
      <c r="D7" s="641">
        <v>4</v>
      </c>
      <c r="E7" s="641">
        <v>5</v>
      </c>
      <c r="F7" s="641">
        <v>6</v>
      </c>
      <c r="G7" s="641">
        <v>7</v>
      </c>
      <c r="H7" s="641" t="s">
        <v>93</v>
      </c>
      <c r="I7" s="641" t="s">
        <v>94</v>
      </c>
    </row>
    <row r="8" spans="1:27" ht="24" customHeight="1">
      <c r="A8" s="876" t="s">
        <v>95</v>
      </c>
      <c r="B8" s="876"/>
      <c r="C8" s="876"/>
      <c r="D8" s="876"/>
      <c r="E8" s="876"/>
      <c r="F8" s="876"/>
      <c r="G8" s="876"/>
      <c r="H8" s="876"/>
      <c r="I8" s="876"/>
    </row>
    <row r="9" spans="1:27" s="20" customFormat="1" ht="15.75" customHeight="1">
      <c r="A9" s="54" t="s">
        <v>141</v>
      </c>
      <c r="B9" s="130" t="s">
        <v>96</v>
      </c>
      <c r="C9" s="497">
        <f>SUM(C10:C11)</f>
        <v>0</v>
      </c>
      <c r="D9" s="131"/>
      <c r="E9" s="131"/>
      <c r="F9" s="131"/>
      <c r="G9" s="131"/>
      <c r="H9" s="132">
        <f t="shared" ref="H9:H17" si="0">SUM(D9:G9)</f>
        <v>0</v>
      </c>
      <c r="I9" s="132">
        <f t="shared" ref="I9:I17" si="1">C9+H9</f>
        <v>0</v>
      </c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</row>
    <row r="10" spans="1:27" ht="15.75" customHeight="1">
      <c r="A10" s="718" t="s">
        <v>97</v>
      </c>
      <c r="B10" s="718" t="s">
        <v>83</v>
      </c>
      <c r="C10" s="719"/>
      <c r="D10" s="720"/>
      <c r="E10" s="720"/>
      <c r="F10" s="720"/>
      <c r="G10" s="720"/>
      <c r="H10" s="128"/>
      <c r="I10" s="128">
        <f>SUM(C10)</f>
        <v>0</v>
      </c>
    </row>
    <row r="11" spans="1:27" ht="15.75" customHeight="1">
      <c r="A11" s="718"/>
      <c r="B11" s="636" t="s">
        <v>237</v>
      </c>
      <c r="C11" s="719"/>
      <c r="D11" s="720"/>
      <c r="E11" s="720"/>
      <c r="F11" s="720"/>
      <c r="G11" s="720"/>
      <c r="H11" s="128"/>
      <c r="I11" s="128">
        <f>SUM(C11)</f>
        <v>0</v>
      </c>
    </row>
    <row r="12" spans="1:27">
      <c r="A12" s="721" t="s">
        <v>142</v>
      </c>
      <c r="B12" s="722" t="s">
        <v>98</v>
      </c>
      <c r="C12" s="719"/>
      <c r="D12" s="720"/>
      <c r="E12" s="720"/>
      <c r="F12" s="720"/>
      <c r="G12" s="720"/>
      <c r="H12" s="128">
        <f t="shared" si="0"/>
        <v>0</v>
      </c>
      <c r="I12" s="128">
        <f t="shared" si="1"/>
        <v>0</v>
      </c>
    </row>
    <row r="13" spans="1:27" ht="27.75" customHeight="1">
      <c r="A13" s="721" t="s">
        <v>143</v>
      </c>
      <c r="B13" s="722" t="s">
        <v>99</v>
      </c>
      <c r="C13" s="719"/>
      <c r="D13" s="720"/>
      <c r="E13" s="720"/>
      <c r="F13" s="720"/>
      <c r="G13" s="720"/>
      <c r="H13" s="128">
        <f t="shared" si="0"/>
        <v>0</v>
      </c>
      <c r="I13" s="128">
        <f t="shared" si="1"/>
        <v>0</v>
      </c>
    </row>
    <row r="14" spans="1:27" ht="15.75" customHeight="1">
      <c r="A14" s="721" t="s">
        <v>147</v>
      </c>
      <c r="B14" s="722" t="s">
        <v>128</v>
      </c>
      <c r="C14" s="719">
        <v>9894665</v>
      </c>
      <c r="D14" s="720"/>
      <c r="E14" s="720"/>
      <c r="F14" s="720"/>
      <c r="G14" s="720"/>
      <c r="H14" s="128">
        <f>SUM(D14:G14)</f>
        <v>0</v>
      </c>
      <c r="I14" s="128">
        <f t="shared" si="1"/>
        <v>9894665</v>
      </c>
    </row>
    <row r="15" spans="1:27" ht="42" customHeight="1">
      <c r="A15" s="721" t="s">
        <v>148</v>
      </c>
      <c r="B15" s="722" t="s">
        <v>127</v>
      </c>
      <c r="C15" s="719"/>
      <c r="D15" s="720"/>
      <c r="E15" s="720"/>
      <c r="F15" s="720"/>
      <c r="G15" s="720"/>
      <c r="H15" s="128">
        <f t="shared" si="0"/>
        <v>0</v>
      </c>
      <c r="I15" s="128">
        <f t="shared" si="1"/>
        <v>0</v>
      </c>
    </row>
    <row r="16" spans="1:27">
      <c r="A16" s="721" t="s">
        <v>149</v>
      </c>
      <c r="B16" s="722" t="s">
        <v>100</v>
      </c>
      <c r="C16" s="719"/>
      <c r="D16" s="720"/>
      <c r="E16" s="720"/>
      <c r="F16" s="720"/>
      <c r="G16" s="720"/>
      <c r="H16" s="128">
        <f t="shared" si="0"/>
        <v>0</v>
      </c>
      <c r="I16" s="128">
        <f t="shared" si="1"/>
        <v>0</v>
      </c>
    </row>
    <row r="17" spans="1:27">
      <c r="A17" s="721" t="s">
        <v>150</v>
      </c>
      <c r="B17" s="722" t="s">
        <v>101</v>
      </c>
      <c r="C17" s="719"/>
      <c r="D17" s="720"/>
      <c r="E17" s="720"/>
      <c r="F17" s="720"/>
      <c r="G17" s="720"/>
      <c r="H17" s="128">
        <f t="shared" si="0"/>
        <v>0</v>
      </c>
      <c r="I17" s="128">
        <f t="shared" si="1"/>
        <v>0</v>
      </c>
    </row>
    <row r="18" spans="1:27">
      <c r="A18" s="859" t="s">
        <v>102</v>
      </c>
      <c r="B18" s="859"/>
      <c r="C18" s="70">
        <f>SUM(C9,C14,C16:C17)</f>
        <v>9894665</v>
      </c>
      <c r="D18" s="128">
        <f>SUM(D9:D17)</f>
        <v>0</v>
      </c>
      <c r="E18" s="128">
        <f>SUM(E9:E17)</f>
        <v>0</v>
      </c>
      <c r="F18" s="128">
        <f>SUM(F9:F17)</f>
        <v>0</v>
      </c>
      <c r="G18" s="128">
        <f>SUM(G9:G17)</f>
        <v>0</v>
      </c>
      <c r="H18" s="128">
        <f>SUM(H9:H17)</f>
        <v>0</v>
      </c>
      <c r="I18" s="128">
        <f>SUM(I9,I14,I16:I17)</f>
        <v>9894665</v>
      </c>
    </row>
    <row r="19" spans="1:27" ht="21" customHeight="1">
      <c r="A19" s="876" t="s">
        <v>103</v>
      </c>
      <c r="B19" s="876"/>
      <c r="C19" s="876"/>
      <c r="D19" s="876"/>
      <c r="E19" s="876"/>
      <c r="F19" s="876"/>
      <c r="G19" s="876"/>
      <c r="H19" s="876"/>
      <c r="I19" s="876"/>
    </row>
    <row r="20" spans="1:27">
      <c r="A20" s="721" t="s">
        <v>141</v>
      </c>
      <c r="B20" s="722" t="s">
        <v>104</v>
      </c>
      <c r="C20" s="723"/>
      <c r="D20" s="720"/>
      <c r="E20" s="720"/>
      <c r="F20" s="720"/>
      <c r="G20" s="720"/>
      <c r="H20" s="128">
        <f>SUM(D20:G20)</f>
        <v>0</v>
      </c>
      <c r="I20" s="128">
        <f>C20+H20</f>
        <v>0</v>
      </c>
    </row>
    <row r="21" spans="1:27">
      <c r="A21" s="721" t="s">
        <v>142</v>
      </c>
      <c r="B21" s="722" t="s">
        <v>101</v>
      </c>
      <c r="C21" s="723"/>
      <c r="D21" s="720"/>
      <c r="E21" s="720"/>
      <c r="F21" s="720"/>
      <c r="G21" s="720"/>
      <c r="H21" s="128">
        <f>SUM(D21:G21)</f>
        <v>0</v>
      </c>
      <c r="I21" s="128">
        <f>C21+H21</f>
        <v>0</v>
      </c>
    </row>
    <row r="22" spans="1:27">
      <c r="A22" s="859" t="s">
        <v>105</v>
      </c>
      <c r="B22" s="859"/>
      <c r="C22" s="128">
        <v>0</v>
      </c>
      <c r="D22" s="128">
        <f t="shared" ref="D22:I22" si="2">SUM(D20:D21)</f>
        <v>0</v>
      </c>
      <c r="E22" s="128">
        <f t="shared" si="2"/>
        <v>0</v>
      </c>
      <c r="F22" s="128">
        <f t="shared" si="2"/>
        <v>0</v>
      </c>
      <c r="G22" s="128">
        <f t="shared" si="2"/>
        <v>0</v>
      </c>
      <c r="H22" s="128">
        <f t="shared" si="2"/>
        <v>0</v>
      </c>
      <c r="I22" s="128">
        <f t="shared" si="2"/>
        <v>0</v>
      </c>
    </row>
    <row r="23" spans="1:27" s="165" customFormat="1" ht="17.25" customHeight="1">
      <c r="A23" s="737" t="s">
        <v>106</v>
      </c>
      <c r="B23" s="737"/>
      <c r="C23" s="197">
        <f t="shared" ref="C23:I23" si="3">C18+C22</f>
        <v>9894665</v>
      </c>
      <c r="D23" s="197">
        <f t="shared" si="3"/>
        <v>0</v>
      </c>
      <c r="E23" s="197">
        <f t="shared" si="3"/>
        <v>0</v>
      </c>
      <c r="F23" s="197">
        <f t="shared" si="3"/>
        <v>0</v>
      </c>
      <c r="G23" s="197">
        <f t="shared" si="3"/>
        <v>0</v>
      </c>
      <c r="H23" s="197">
        <f t="shared" si="3"/>
        <v>0</v>
      </c>
      <c r="I23" s="197">
        <f t="shared" si="3"/>
        <v>9894665</v>
      </c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</row>
    <row r="24" spans="1:27">
      <c r="A24" s="108"/>
      <c r="B24" s="108"/>
      <c r="C24" s="108"/>
      <c r="D24" s="108"/>
      <c r="E24" s="108"/>
      <c r="F24" s="108"/>
      <c r="G24" s="108"/>
      <c r="H24" s="108"/>
      <c r="I24" s="108"/>
    </row>
    <row r="25" spans="1:27">
      <c r="A25" s="108"/>
      <c r="B25" s="108"/>
      <c r="C25" s="108"/>
      <c r="D25" s="108"/>
      <c r="E25" s="108"/>
      <c r="F25" s="108"/>
      <c r="G25" s="108"/>
      <c r="H25" s="108"/>
      <c r="I25" s="108"/>
    </row>
    <row r="26" spans="1:27">
      <c r="A26" s="108"/>
      <c r="B26" s="108"/>
      <c r="C26" s="108"/>
      <c r="D26" s="108"/>
      <c r="E26" s="108"/>
      <c r="F26" s="108"/>
      <c r="G26" s="108"/>
      <c r="H26" s="108"/>
      <c r="I26" s="108"/>
    </row>
    <row r="27" spans="1:27">
      <c r="A27" s="46" t="s">
        <v>1166</v>
      </c>
      <c r="B27" s="108"/>
      <c r="C27" s="108"/>
      <c r="D27" s="108"/>
      <c r="E27" s="108"/>
      <c r="F27" s="108"/>
      <c r="G27" s="108"/>
      <c r="H27" s="108"/>
      <c r="I27" s="108"/>
    </row>
    <row r="28" spans="1:27">
      <c r="A28" s="108"/>
      <c r="B28" s="108"/>
      <c r="C28" s="108"/>
      <c r="D28" s="108"/>
      <c r="E28" s="108"/>
      <c r="F28" s="108"/>
      <c r="G28" s="108"/>
      <c r="H28" s="108"/>
      <c r="I28" s="108"/>
    </row>
    <row r="29" spans="1:27">
      <c r="A29" s="108"/>
      <c r="B29" s="108"/>
      <c r="C29" s="108"/>
      <c r="D29" s="108"/>
      <c r="E29" s="108"/>
      <c r="F29" s="108"/>
      <c r="G29" s="108"/>
      <c r="H29" s="108"/>
      <c r="I29" s="108"/>
    </row>
    <row r="30" spans="1:27">
      <c r="A30" s="108"/>
      <c r="B30" s="108"/>
      <c r="C30" s="108"/>
      <c r="D30" s="108"/>
      <c r="E30" s="108"/>
      <c r="F30" s="108"/>
      <c r="G30" s="108"/>
      <c r="H30" s="108"/>
      <c r="I30" s="108"/>
    </row>
    <row r="31" spans="1:27">
      <c r="A31" s="108"/>
      <c r="B31" s="108"/>
      <c r="C31" s="108"/>
      <c r="D31" s="108"/>
      <c r="E31" s="108"/>
      <c r="F31" s="108"/>
      <c r="G31" s="108"/>
      <c r="H31" s="108"/>
      <c r="I31" s="108"/>
    </row>
    <row r="32" spans="1:27">
      <c r="A32" s="108"/>
      <c r="B32" s="108"/>
      <c r="C32" s="108"/>
      <c r="D32" s="108"/>
      <c r="E32" s="108"/>
      <c r="F32" s="108"/>
      <c r="G32" s="108"/>
      <c r="H32" s="108"/>
      <c r="I32" s="108"/>
    </row>
    <row r="33" spans="1:9">
      <c r="A33" s="108"/>
      <c r="B33" s="108"/>
      <c r="C33" s="108"/>
      <c r="D33" s="108"/>
      <c r="E33" s="108"/>
      <c r="F33" s="108"/>
      <c r="G33" s="108"/>
      <c r="H33" s="108"/>
      <c r="I33" s="108"/>
    </row>
    <row r="34" spans="1:9">
      <c r="A34" s="108"/>
      <c r="B34" s="108"/>
      <c r="C34" s="108"/>
      <c r="D34" s="108"/>
      <c r="E34" s="108"/>
      <c r="F34" s="108"/>
      <c r="G34" s="108"/>
      <c r="H34" s="108"/>
      <c r="I34" s="108"/>
    </row>
    <row r="35" spans="1:9">
      <c r="A35" s="108"/>
      <c r="B35" s="108"/>
      <c r="C35" s="108"/>
      <c r="D35" s="108"/>
      <c r="E35" s="108"/>
      <c r="F35" s="108"/>
      <c r="G35" s="108"/>
      <c r="H35" s="108"/>
      <c r="I35" s="108"/>
    </row>
    <row r="36" spans="1:9">
      <c r="A36" s="108"/>
      <c r="B36" s="108"/>
      <c r="C36" s="108"/>
      <c r="D36" s="108"/>
      <c r="E36" s="108"/>
      <c r="F36" s="108"/>
      <c r="G36" s="108"/>
      <c r="H36" s="108"/>
      <c r="I36" s="108"/>
    </row>
    <row r="37" spans="1:9">
      <c r="A37" s="108"/>
      <c r="B37" s="108"/>
      <c r="C37" s="108"/>
      <c r="D37" s="108"/>
      <c r="E37" s="108"/>
      <c r="F37" s="108"/>
      <c r="G37" s="108"/>
      <c r="H37" s="108"/>
      <c r="I37" s="108"/>
    </row>
    <row r="38" spans="1:9">
      <c r="A38" s="108"/>
      <c r="B38" s="108"/>
      <c r="C38" s="108"/>
      <c r="D38" s="108"/>
      <c r="E38" s="108"/>
      <c r="F38" s="108"/>
      <c r="G38" s="108"/>
      <c r="H38" s="108"/>
      <c r="I38" s="108"/>
    </row>
    <row r="39" spans="1:9">
      <c r="A39" s="108"/>
      <c r="B39" s="108"/>
      <c r="C39" s="108"/>
      <c r="D39" s="108"/>
      <c r="E39" s="108"/>
      <c r="F39" s="108"/>
      <c r="G39" s="108"/>
      <c r="H39" s="108"/>
      <c r="I39" s="108"/>
    </row>
    <row r="40" spans="1:9">
      <c r="A40" s="108"/>
      <c r="B40" s="108"/>
      <c r="C40" s="108"/>
      <c r="D40" s="108"/>
      <c r="E40" s="108"/>
      <c r="F40" s="108"/>
      <c r="G40" s="108"/>
      <c r="H40" s="108"/>
      <c r="I40" s="108"/>
    </row>
    <row r="41" spans="1:9" ht="16.5" customHeight="1">
      <c r="A41" s="108"/>
      <c r="B41" s="108"/>
      <c r="C41" s="108"/>
      <c r="D41" s="108"/>
      <c r="E41" s="108"/>
      <c r="F41" s="108"/>
      <c r="G41" s="108"/>
      <c r="H41" s="108"/>
      <c r="I41" s="108"/>
    </row>
    <row r="42" spans="1:9">
      <c r="A42" s="108"/>
      <c r="B42" s="108"/>
      <c r="C42" s="108"/>
      <c r="D42" s="108"/>
      <c r="E42" s="108"/>
      <c r="F42" s="108"/>
      <c r="G42" s="108"/>
      <c r="H42" s="108"/>
      <c r="I42" s="108"/>
    </row>
    <row r="43" spans="1:9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>
      <c r="A44" s="108"/>
      <c r="B44" s="108"/>
      <c r="C44" s="108"/>
      <c r="D44" s="108"/>
      <c r="E44" s="108"/>
      <c r="F44" s="108"/>
      <c r="G44" s="108"/>
      <c r="H44" s="108"/>
      <c r="I44" s="108"/>
    </row>
    <row r="45" spans="1:9">
      <c r="A45" s="108"/>
      <c r="B45" s="108"/>
      <c r="C45" s="108"/>
      <c r="D45" s="108"/>
      <c r="E45" s="108"/>
      <c r="F45" s="108"/>
      <c r="G45" s="108"/>
      <c r="H45" s="108"/>
      <c r="I45" s="108"/>
    </row>
    <row r="46" spans="1:9">
      <c r="A46" s="108"/>
      <c r="B46" s="108"/>
      <c r="C46" s="108"/>
      <c r="D46" s="108"/>
      <c r="E46" s="108"/>
      <c r="F46" s="108"/>
      <c r="G46" s="108"/>
      <c r="H46" s="108"/>
      <c r="I46" s="108"/>
    </row>
    <row r="47" spans="1:9">
      <c r="A47" s="108"/>
      <c r="B47" s="108"/>
      <c r="C47" s="108"/>
      <c r="D47" s="108"/>
      <c r="E47" s="108"/>
      <c r="F47" s="108"/>
      <c r="G47" s="108"/>
      <c r="H47" s="108"/>
      <c r="I47" s="108"/>
    </row>
    <row r="48" spans="1:9">
      <c r="A48" s="108"/>
      <c r="B48" s="108"/>
      <c r="C48" s="108"/>
      <c r="D48" s="108"/>
      <c r="E48" s="108"/>
      <c r="F48" s="108"/>
      <c r="G48" s="108"/>
      <c r="H48" s="108"/>
      <c r="I48" s="108"/>
    </row>
    <row r="49" spans="1:9">
      <c r="A49" s="108"/>
      <c r="B49" s="108"/>
      <c r="C49" s="108"/>
      <c r="D49" s="108"/>
      <c r="E49" s="108"/>
      <c r="F49" s="108"/>
      <c r="G49" s="108"/>
      <c r="H49" s="108"/>
      <c r="I49" s="108"/>
    </row>
    <row r="50" spans="1:9">
      <c r="A50" s="108"/>
      <c r="B50" s="108"/>
      <c r="C50" s="108"/>
      <c r="D50" s="108"/>
      <c r="E50" s="108"/>
      <c r="F50" s="108"/>
      <c r="G50" s="108"/>
      <c r="H50" s="108"/>
      <c r="I50" s="108"/>
    </row>
    <row r="51" spans="1:9">
      <c r="A51" s="108"/>
      <c r="B51" s="108"/>
      <c r="C51" s="108"/>
      <c r="D51" s="108"/>
      <c r="E51" s="108"/>
      <c r="F51" s="108"/>
      <c r="G51" s="108"/>
      <c r="H51" s="108"/>
      <c r="I51" s="108"/>
    </row>
    <row r="52" spans="1:9">
      <c r="A52" s="108"/>
      <c r="B52" s="108"/>
      <c r="C52" s="108"/>
      <c r="D52" s="108"/>
      <c r="E52" s="108"/>
      <c r="F52" s="108"/>
      <c r="G52" s="108"/>
      <c r="H52" s="108"/>
      <c r="I52" s="108"/>
    </row>
    <row r="53" spans="1:9">
      <c r="A53" s="108"/>
      <c r="B53" s="108"/>
      <c r="C53" s="108"/>
      <c r="D53" s="108"/>
      <c r="E53" s="108"/>
      <c r="F53" s="108"/>
      <c r="G53" s="108"/>
      <c r="H53" s="108"/>
      <c r="I53" s="108"/>
    </row>
    <row r="54" spans="1:9">
      <c r="A54" s="108"/>
      <c r="B54" s="108"/>
      <c r="C54" s="108"/>
      <c r="D54" s="108"/>
      <c r="E54" s="108"/>
      <c r="F54" s="108"/>
      <c r="G54" s="108"/>
      <c r="H54" s="108"/>
      <c r="I54" s="108"/>
    </row>
  </sheetData>
  <mergeCells count="13">
    <mergeCell ref="A19:I19"/>
    <mergeCell ref="A22:B22"/>
    <mergeCell ref="A23:B23"/>
    <mergeCell ref="A8:I8"/>
    <mergeCell ref="A18:B18"/>
    <mergeCell ref="A1:I1"/>
    <mergeCell ref="A2:I2"/>
    <mergeCell ref="A5:A6"/>
    <mergeCell ref="B5:B6"/>
    <mergeCell ref="C5:C6"/>
    <mergeCell ref="D5:H5"/>
    <mergeCell ref="I5:I6"/>
    <mergeCell ref="A4:I4"/>
  </mergeCells>
  <phoneticPr fontId="0" type="noConversion"/>
  <pageMargins left="0.64" right="0.6" top="1" bottom="1" header="0.5" footer="0.5"/>
  <pageSetup paperSize="9" scale="98" orientation="landscape" r:id="rId1"/>
  <headerFooter alignWithMargins="0">
    <oddHeader>&amp;R&amp;"Times New Roman,Normál"&amp;11 9. számú melléklet</oddHeader>
  </headerFooter>
  <rowBreaks count="1" manualBreakCount="1">
    <brk id="26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19">
    <tabColor theme="4" tint="0.59999389629810485"/>
  </sheetPr>
  <dimension ref="A1:W39"/>
  <sheetViews>
    <sheetView topLeftCell="A10" workbookViewId="0">
      <selection activeCell="D23" sqref="D23"/>
    </sheetView>
  </sheetViews>
  <sheetFormatPr defaultColWidth="9.140625" defaultRowHeight="12.75"/>
  <cols>
    <col min="1" max="1" width="35.28515625" style="96" customWidth="1"/>
    <col min="2" max="2" width="13" style="96" customWidth="1"/>
    <col min="3" max="4" width="14" style="96" customWidth="1"/>
    <col min="5" max="7" width="13.28515625" style="151" customWidth="1"/>
    <col min="8" max="23" width="9.140625" style="133"/>
    <col min="24" max="16384" width="9.140625" style="96"/>
  </cols>
  <sheetData>
    <row r="1" spans="1:23">
      <c r="A1" s="873" t="s">
        <v>1041</v>
      </c>
      <c r="B1" s="873"/>
      <c r="C1" s="873"/>
      <c r="D1" s="873"/>
      <c r="E1" s="873"/>
      <c r="F1" s="873"/>
      <c r="G1" s="873"/>
    </row>
    <row r="2" spans="1:23" ht="12.75" customHeight="1">
      <c r="A2" s="878" t="s">
        <v>1084</v>
      </c>
      <c r="B2" s="878"/>
      <c r="C2" s="878"/>
      <c r="D2" s="878"/>
      <c r="E2" s="878"/>
      <c r="F2" s="878"/>
      <c r="G2" s="878"/>
    </row>
    <row r="3" spans="1:23" ht="18" customHeight="1">
      <c r="A3" s="878"/>
      <c r="B3" s="878"/>
      <c r="C3" s="878"/>
      <c r="D3" s="878"/>
      <c r="E3" s="878"/>
      <c r="F3" s="878"/>
      <c r="G3" s="878"/>
    </row>
    <row r="4" spans="1:23" s="133" customFormat="1">
      <c r="A4" s="258"/>
      <c r="B4" s="258"/>
      <c r="C4" s="258"/>
      <c r="D4" s="259"/>
      <c r="E4" s="151"/>
      <c r="F4" s="151"/>
      <c r="G4" s="151"/>
    </row>
    <row r="5" spans="1:23" s="133" customFormat="1">
      <c r="A5" s="258"/>
      <c r="B5" s="258"/>
      <c r="C5" s="258"/>
      <c r="D5" s="259"/>
      <c r="E5" s="151"/>
      <c r="F5" s="151"/>
      <c r="G5" s="151"/>
    </row>
    <row r="6" spans="1:23" s="133" customFormat="1">
      <c r="A6" s="258"/>
      <c r="B6" s="564"/>
      <c r="C6" s="258"/>
      <c r="D6" s="259"/>
      <c r="E6" s="151"/>
      <c r="F6" s="151"/>
      <c r="G6" s="151"/>
    </row>
    <row r="7" spans="1:23" s="21" customFormat="1" ht="24.75" customHeight="1">
      <c r="A7" s="877" t="s">
        <v>238</v>
      </c>
      <c r="B7" s="877"/>
      <c r="C7" s="877"/>
      <c r="D7" s="877"/>
      <c r="E7" s="877"/>
      <c r="F7" s="877"/>
      <c r="G7" s="877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21" customFormat="1" ht="24.75" customHeight="1">
      <c r="A8" s="731" t="s">
        <v>116</v>
      </c>
      <c r="B8" s="879" t="s">
        <v>998</v>
      </c>
      <c r="C8" s="879"/>
      <c r="D8" s="879"/>
      <c r="E8" s="840" t="s">
        <v>997</v>
      </c>
      <c r="F8" s="840"/>
      <c r="G8" s="840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</row>
    <row r="9" spans="1:23" s="97" customFormat="1" ht="25.5">
      <c r="A9" s="731"/>
      <c r="B9" s="549" t="s">
        <v>117</v>
      </c>
      <c r="C9" s="549" t="s">
        <v>118</v>
      </c>
      <c r="D9" s="549" t="s">
        <v>138</v>
      </c>
      <c r="E9" s="550" t="s">
        <v>117</v>
      </c>
      <c r="F9" s="550" t="s">
        <v>118</v>
      </c>
      <c r="G9" s="550" t="s">
        <v>138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23" s="133" customFormat="1" ht="12.75" customHeight="1">
      <c r="A10" s="98" t="s">
        <v>70</v>
      </c>
      <c r="B10" s="499">
        <v>0</v>
      </c>
      <c r="C10" s="499">
        <v>0</v>
      </c>
      <c r="D10" s="260">
        <v>0</v>
      </c>
      <c r="E10" s="563">
        <v>0</v>
      </c>
      <c r="F10" s="563">
        <v>0</v>
      </c>
      <c r="G10" s="563">
        <v>0</v>
      </c>
    </row>
    <row r="11" spans="1:23" s="133" customFormat="1" ht="12.75" customHeight="1">
      <c r="A11" s="261" t="s">
        <v>72</v>
      </c>
      <c r="B11" s="499">
        <v>281667</v>
      </c>
      <c r="C11" s="499">
        <v>281667</v>
      </c>
      <c r="D11" s="260">
        <v>281667</v>
      </c>
      <c r="E11" s="563">
        <v>0</v>
      </c>
      <c r="F11" s="563">
        <v>0</v>
      </c>
      <c r="G11" s="563">
        <v>0</v>
      </c>
    </row>
    <row r="12" spans="1:23" s="133" customFormat="1" ht="12.75" customHeight="1">
      <c r="A12" s="261" t="s">
        <v>64</v>
      </c>
      <c r="B12" s="499">
        <v>0</v>
      </c>
      <c r="C12" s="499">
        <v>0</v>
      </c>
      <c r="D12" s="260">
        <v>0</v>
      </c>
      <c r="E12" s="563">
        <v>0</v>
      </c>
      <c r="F12" s="563">
        <v>0</v>
      </c>
      <c r="G12" s="563">
        <v>0</v>
      </c>
    </row>
    <row r="13" spans="1:23" s="133" customFormat="1" ht="12.75" customHeight="1">
      <c r="A13" s="261" t="s">
        <v>56</v>
      </c>
      <c r="B13" s="499">
        <v>0</v>
      </c>
      <c r="C13" s="499">
        <v>0</v>
      </c>
      <c r="D13" s="260">
        <v>0</v>
      </c>
      <c r="E13" s="563">
        <v>0</v>
      </c>
      <c r="F13" s="563">
        <v>0</v>
      </c>
      <c r="G13" s="563">
        <v>0</v>
      </c>
    </row>
    <row r="14" spans="1:23" s="133" customFormat="1" ht="12.75" customHeight="1">
      <c r="A14" s="261" t="s">
        <v>67</v>
      </c>
      <c r="B14" s="499">
        <v>0</v>
      </c>
      <c r="C14" s="499">
        <v>0</v>
      </c>
      <c r="D14" s="260">
        <v>0</v>
      </c>
      <c r="E14" s="563">
        <v>0</v>
      </c>
      <c r="F14" s="563">
        <v>0</v>
      </c>
      <c r="G14" s="563">
        <v>0</v>
      </c>
    </row>
    <row r="15" spans="1:23" s="133" customFormat="1" ht="12.75" customHeight="1">
      <c r="A15" s="261" t="s">
        <v>192</v>
      </c>
      <c r="B15" s="499">
        <v>0</v>
      </c>
      <c r="C15" s="499">
        <v>0</v>
      </c>
      <c r="D15" s="260">
        <v>0</v>
      </c>
      <c r="E15" s="563">
        <v>0</v>
      </c>
      <c r="F15" s="563">
        <v>0</v>
      </c>
      <c r="G15" s="563">
        <v>0</v>
      </c>
    </row>
    <row r="16" spans="1:23" s="133" customFormat="1" ht="12.75" customHeight="1">
      <c r="A16" s="261" t="s">
        <v>55</v>
      </c>
      <c r="B16" s="499">
        <v>0</v>
      </c>
      <c r="C16" s="499">
        <v>0</v>
      </c>
      <c r="D16" s="260">
        <v>0</v>
      </c>
      <c r="E16" s="563">
        <v>0</v>
      </c>
      <c r="F16" s="563">
        <v>0</v>
      </c>
      <c r="G16" s="563">
        <v>0</v>
      </c>
    </row>
    <row r="17" spans="1:7" s="133" customFormat="1" ht="12.75" customHeight="1">
      <c r="A17" s="261" t="s">
        <v>63</v>
      </c>
      <c r="B17" s="499">
        <v>245765</v>
      </c>
      <c r="C17" s="499">
        <v>155899</v>
      </c>
      <c r="D17" s="260">
        <v>155899</v>
      </c>
      <c r="E17" s="563">
        <v>0</v>
      </c>
      <c r="F17" s="563">
        <v>0</v>
      </c>
      <c r="G17" s="563">
        <v>0</v>
      </c>
    </row>
    <row r="18" spans="1:7">
      <c r="A18" s="261" t="s">
        <v>251</v>
      </c>
      <c r="B18" s="499">
        <v>0</v>
      </c>
      <c r="C18" s="499">
        <v>0</v>
      </c>
      <c r="D18" s="260">
        <v>0</v>
      </c>
      <c r="E18" s="563">
        <v>0</v>
      </c>
      <c r="F18" s="563">
        <v>0</v>
      </c>
      <c r="G18" s="563">
        <v>0</v>
      </c>
    </row>
    <row r="19" spans="1:7">
      <c r="A19" s="98" t="s">
        <v>60</v>
      </c>
      <c r="B19" s="499">
        <v>12890923</v>
      </c>
      <c r="C19" s="499">
        <v>9580691</v>
      </c>
      <c r="D19" s="499">
        <v>9580691</v>
      </c>
      <c r="E19" s="563">
        <v>450000</v>
      </c>
      <c r="F19" s="563">
        <v>254001</v>
      </c>
      <c r="G19" s="563">
        <v>254001</v>
      </c>
    </row>
    <row r="20" spans="1:7">
      <c r="A20" s="261" t="s">
        <v>65</v>
      </c>
      <c r="B20" s="499">
        <v>0</v>
      </c>
      <c r="C20" s="499">
        <v>0</v>
      </c>
      <c r="D20" s="260">
        <v>0</v>
      </c>
      <c r="E20" s="563">
        <v>0</v>
      </c>
      <c r="F20" s="563">
        <v>0</v>
      </c>
      <c r="G20" s="563">
        <v>0</v>
      </c>
    </row>
    <row r="21" spans="1:7">
      <c r="A21" s="261" t="s">
        <v>59</v>
      </c>
      <c r="B21" s="499">
        <v>0</v>
      </c>
      <c r="C21" s="499">
        <v>0</v>
      </c>
      <c r="D21" s="260">
        <v>0</v>
      </c>
      <c r="E21" s="563">
        <v>0</v>
      </c>
      <c r="F21" s="563">
        <v>0</v>
      </c>
      <c r="G21" s="563">
        <v>0</v>
      </c>
    </row>
    <row r="22" spans="1:7">
      <c r="A22" s="261" t="s">
        <v>62</v>
      </c>
      <c r="B22" s="499">
        <v>267146</v>
      </c>
      <c r="C22" s="499">
        <v>267146</v>
      </c>
      <c r="D22" s="260">
        <v>267146</v>
      </c>
      <c r="E22" s="563">
        <v>0</v>
      </c>
      <c r="F22" s="563">
        <v>0</v>
      </c>
      <c r="G22" s="563">
        <v>0</v>
      </c>
    </row>
    <row r="23" spans="1:7">
      <c r="A23" s="261" t="s">
        <v>61</v>
      </c>
      <c r="B23" s="499">
        <v>125611</v>
      </c>
      <c r="C23" s="499">
        <v>125611</v>
      </c>
      <c r="D23" s="260">
        <v>125611</v>
      </c>
      <c r="E23" s="563">
        <v>0</v>
      </c>
      <c r="F23" s="563">
        <v>0</v>
      </c>
      <c r="G23" s="563">
        <v>0</v>
      </c>
    </row>
    <row r="24" spans="1:7">
      <c r="A24" s="261" t="s">
        <v>57</v>
      </c>
      <c r="B24" s="260">
        <v>0</v>
      </c>
      <c r="C24" s="260">
        <v>0</v>
      </c>
      <c r="D24" s="260">
        <v>0</v>
      </c>
      <c r="E24" s="563">
        <v>0</v>
      </c>
      <c r="F24" s="563">
        <v>0</v>
      </c>
      <c r="G24" s="563">
        <v>0</v>
      </c>
    </row>
    <row r="25" spans="1:7">
      <c r="A25" s="3" t="s">
        <v>249</v>
      </c>
      <c r="B25" s="457">
        <v>0</v>
      </c>
      <c r="C25" s="457">
        <v>0</v>
      </c>
      <c r="D25" s="457">
        <v>0</v>
      </c>
      <c r="E25" s="563">
        <v>0</v>
      </c>
      <c r="F25" s="563">
        <v>0</v>
      </c>
      <c r="G25" s="563">
        <v>0</v>
      </c>
    </row>
    <row r="26" spans="1:7">
      <c r="A26" s="261" t="s">
        <v>68</v>
      </c>
      <c r="B26" s="260">
        <v>0</v>
      </c>
      <c r="C26" s="260">
        <v>0</v>
      </c>
      <c r="D26" s="260">
        <v>0</v>
      </c>
      <c r="E26" s="563">
        <v>0</v>
      </c>
      <c r="F26" s="563">
        <v>0</v>
      </c>
      <c r="G26" s="563">
        <v>0</v>
      </c>
    </row>
    <row r="27" spans="1:7" ht="15.75">
      <c r="A27" s="199" t="s">
        <v>126</v>
      </c>
      <c r="B27" s="200">
        <f>SUM(B10:B26)</f>
        <v>13811112</v>
      </c>
      <c r="C27" s="200">
        <f>SUM(C10:C26)</f>
        <v>10411014</v>
      </c>
      <c r="D27" s="200">
        <f>SUM(D10:D26)</f>
        <v>10411014</v>
      </c>
      <c r="E27" s="238">
        <f>SUM(E10:E26)</f>
        <v>450000</v>
      </c>
      <c r="F27" s="238">
        <f t="shared" ref="F27:G27" si="0">SUM(F10:F26)</f>
        <v>254001</v>
      </c>
      <c r="G27" s="238">
        <f t="shared" si="0"/>
        <v>254001</v>
      </c>
    </row>
    <row r="28" spans="1:7">
      <c r="A28" s="133"/>
      <c r="B28" s="133"/>
      <c r="C28" s="133"/>
      <c r="D28" s="133"/>
    </row>
    <row r="29" spans="1:7">
      <c r="A29" s="133"/>
      <c r="B29" s="133"/>
      <c r="C29" s="133"/>
      <c r="D29" s="133"/>
    </row>
    <row r="30" spans="1:7">
      <c r="A30" s="133"/>
      <c r="B30" s="133"/>
      <c r="C30" s="133"/>
      <c r="D30" s="133"/>
    </row>
    <row r="31" spans="1:7">
      <c r="A31" s="133"/>
      <c r="B31" s="133"/>
      <c r="C31" s="133"/>
      <c r="D31" s="133"/>
    </row>
    <row r="32" spans="1:7">
      <c r="A32" s="133"/>
      <c r="B32" s="133"/>
      <c r="C32" s="133"/>
      <c r="D32" s="133"/>
    </row>
    <row r="33" spans="1:4">
      <c r="A33" s="133"/>
      <c r="B33" s="133"/>
      <c r="C33" s="133"/>
      <c r="D33" s="133"/>
    </row>
    <row r="34" spans="1:4">
      <c r="A34" s="133"/>
      <c r="B34" s="133"/>
      <c r="C34" s="133"/>
      <c r="D34" s="133"/>
    </row>
    <row r="35" spans="1:4">
      <c r="A35" s="133"/>
      <c r="B35" s="133"/>
      <c r="C35" s="133"/>
      <c r="D35" s="133"/>
    </row>
    <row r="36" spans="1:4">
      <c r="A36" s="133"/>
      <c r="B36" s="133"/>
      <c r="C36" s="133"/>
      <c r="D36" s="133"/>
    </row>
    <row r="37" spans="1:4">
      <c r="A37" s="133"/>
      <c r="B37" s="133"/>
      <c r="C37" s="133"/>
      <c r="D37" s="133"/>
    </row>
    <row r="38" spans="1:4">
      <c r="A38" s="133"/>
      <c r="B38" s="133"/>
      <c r="C38" s="133"/>
      <c r="D38" s="133"/>
    </row>
    <row r="39" spans="1:4">
      <c r="A39" s="133"/>
      <c r="B39" s="133"/>
      <c r="C39" s="133"/>
      <c r="D39" s="133"/>
    </row>
  </sheetData>
  <mergeCells count="6">
    <mergeCell ref="E8:G8"/>
    <mergeCell ref="A7:G7"/>
    <mergeCell ref="A1:G1"/>
    <mergeCell ref="A2:G3"/>
    <mergeCell ref="A8:A9"/>
    <mergeCell ref="B8:D8"/>
  </mergeCells>
  <phoneticPr fontId="1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Roman,Normál"&amp;11 10/a. sz.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>
    <tabColor theme="4" tint="0.39997558519241921"/>
  </sheetPr>
  <dimension ref="A1:AD104"/>
  <sheetViews>
    <sheetView zoomScaleNormal="100" workbookViewId="0">
      <pane ySplit="1" topLeftCell="A101" activePane="bottomLeft" state="frozen"/>
      <selection activeCell="B24" sqref="B24"/>
      <selection pane="bottomLeft" activeCell="B87" sqref="B87"/>
    </sheetView>
  </sheetViews>
  <sheetFormatPr defaultRowHeight="12.75"/>
  <cols>
    <col min="1" max="1" width="9.42578125" style="1" bestFit="1" customWidth="1"/>
    <col min="2" max="2" width="80.42578125" bestFit="1" customWidth="1"/>
    <col min="3" max="3" width="18.42578125" bestFit="1" customWidth="1"/>
    <col min="4" max="4" width="18.42578125" customWidth="1"/>
    <col min="5" max="5" width="18.42578125" bestFit="1" customWidth="1"/>
    <col min="6" max="6" width="14.7109375" customWidth="1"/>
    <col min="7" max="7" width="18" customWidth="1"/>
    <col min="8" max="8" width="19.85546875" customWidth="1"/>
    <col min="9" max="9" width="10.140625" customWidth="1"/>
    <col min="10" max="10" width="10" customWidth="1"/>
    <col min="11" max="11" width="10.42578125" style="46" customWidth="1"/>
    <col min="12" max="30" width="9.140625" style="46"/>
  </cols>
  <sheetData>
    <row r="1" spans="1:30">
      <c r="A1" s="729" t="s">
        <v>1101</v>
      </c>
      <c r="B1" s="729"/>
      <c r="C1" s="729"/>
      <c r="D1" s="729"/>
      <c r="E1" s="729"/>
      <c r="F1" s="729"/>
      <c r="G1" s="729"/>
      <c r="H1" s="729"/>
      <c r="I1" s="729"/>
      <c r="J1" s="729"/>
    </row>
    <row r="2" spans="1:30">
      <c r="A2" s="729" t="s">
        <v>18</v>
      </c>
      <c r="B2" s="729"/>
      <c r="C2" s="729"/>
      <c r="D2" s="729"/>
      <c r="E2" s="729"/>
      <c r="F2" s="729"/>
      <c r="G2" s="729"/>
      <c r="H2" s="729"/>
      <c r="I2" s="729"/>
      <c r="J2" s="729"/>
    </row>
    <row r="3" spans="1:30">
      <c r="A3" s="742" t="s">
        <v>1140</v>
      </c>
      <c r="B3" s="729"/>
      <c r="C3" s="729"/>
      <c r="D3" s="729"/>
      <c r="E3" s="729"/>
      <c r="F3" s="729"/>
      <c r="G3" s="729"/>
      <c r="H3" s="729"/>
      <c r="I3" s="729"/>
      <c r="J3" s="729"/>
    </row>
    <row r="4" spans="1:30" ht="5.25" customHeight="1">
      <c r="A4" s="109"/>
      <c r="B4" s="46"/>
      <c r="C4" s="46"/>
      <c r="D4" s="46"/>
      <c r="E4" s="46"/>
      <c r="F4" s="46"/>
      <c r="G4" s="46"/>
      <c r="H4" s="46"/>
      <c r="I4" s="46"/>
      <c r="J4" s="46"/>
    </row>
    <row r="5" spans="1:30" ht="11.25" customHeight="1">
      <c r="A5" s="730" t="s">
        <v>479</v>
      </c>
      <c r="B5" s="730"/>
      <c r="C5" s="730"/>
      <c r="D5" s="730"/>
      <c r="E5" s="730"/>
      <c r="F5" s="730"/>
      <c r="G5" s="730"/>
      <c r="H5" s="730"/>
      <c r="I5" s="638"/>
      <c r="J5" s="638"/>
    </row>
    <row r="6" spans="1:30" ht="13.5" customHeight="1">
      <c r="A6" s="731" t="s">
        <v>139</v>
      </c>
      <c r="B6" s="732" t="s">
        <v>134</v>
      </c>
      <c r="C6" s="633" t="s">
        <v>171</v>
      </c>
      <c r="D6" s="633" t="s">
        <v>135</v>
      </c>
      <c r="E6" s="743" t="s">
        <v>241</v>
      </c>
      <c r="F6" s="744"/>
      <c r="G6" s="732" t="s">
        <v>138</v>
      </c>
      <c r="H6" s="732"/>
      <c r="I6" s="46"/>
      <c r="J6" s="46"/>
      <c r="AC6"/>
      <c r="AD6"/>
    </row>
    <row r="7" spans="1:30" ht="37.5" customHeight="1">
      <c r="A7" s="731"/>
      <c r="B7" s="732"/>
      <c r="C7" s="732" t="s">
        <v>136</v>
      </c>
      <c r="D7" s="732"/>
      <c r="E7" s="632" t="s">
        <v>536</v>
      </c>
      <c r="F7" s="632" t="s">
        <v>537</v>
      </c>
      <c r="G7" s="633" t="s">
        <v>137</v>
      </c>
      <c r="H7" s="632" t="s">
        <v>180</v>
      </c>
      <c r="I7" s="46"/>
      <c r="J7" s="46"/>
      <c r="AC7"/>
      <c r="AD7"/>
    </row>
    <row r="8" spans="1:30" ht="15.75" customHeight="1">
      <c r="A8" s="736" t="s">
        <v>140</v>
      </c>
      <c r="B8" s="736"/>
      <c r="C8" s="736"/>
      <c r="D8" s="736"/>
      <c r="E8" s="736"/>
      <c r="F8" s="736"/>
      <c r="G8" s="736"/>
      <c r="H8" s="736"/>
      <c r="I8" s="46"/>
      <c r="J8" s="46"/>
      <c r="AC8"/>
      <c r="AD8"/>
    </row>
    <row r="9" spans="1:30" ht="24" customHeight="1">
      <c r="A9" s="121" t="s">
        <v>141</v>
      </c>
      <c r="B9" s="86" t="s">
        <v>869</v>
      </c>
      <c r="C9" s="276">
        <f>SUM(C10)</f>
        <v>33374724</v>
      </c>
      <c r="D9" s="276">
        <f>SUM(D10)</f>
        <v>34546345</v>
      </c>
      <c r="E9" s="276">
        <f>SUM(E10)</f>
        <v>0</v>
      </c>
      <c r="F9" s="276">
        <f>SUM(F10)</f>
        <v>0</v>
      </c>
      <c r="G9" s="276">
        <f>SUM(G10)</f>
        <v>34546345</v>
      </c>
      <c r="H9" s="118">
        <f>G9/D9*100</f>
        <v>100</v>
      </c>
      <c r="I9" s="46"/>
      <c r="J9" s="46"/>
      <c r="AC9"/>
      <c r="AD9"/>
    </row>
    <row r="10" spans="1:30" ht="14.45" customHeight="1">
      <c r="A10" s="113" t="s">
        <v>158</v>
      </c>
      <c r="B10" s="636" t="s">
        <v>495</v>
      </c>
      <c r="C10" s="315">
        <v>33374724</v>
      </c>
      <c r="D10" s="315">
        <v>34546345</v>
      </c>
      <c r="E10" s="315"/>
      <c r="F10" s="315">
        <v>0</v>
      </c>
      <c r="G10" s="315">
        <v>34546345</v>
      </c>
      <c r="H10" s="316">
        <f>G10/D10*100</f>
        <v>100</v>
      </c>
      <c r="I10" s="46"/>
      <c r="J10" s="46"/>
      <c r="AC10"/>
      <c r="AD10"/>
    </row>
    <row r="11" spans="1:30" s="20" customFormat="1" ht="28.5" customHeight="1">
      <c r="A11" s="121" t="s">
        <v>142</v>
      </c>
      <c r="B11" s="86" t="s">
        <v>484</v>
      </c>
      <c r="C11" s="276">
        <f>SUM(C12+C18+C19)</f>
        <v>935506437</v>
      </c>
      <c r="D11" s="276">
        <f>SUM(D12+D18+D19)</f>
        <v>982920514</v>
      </c>
      <c r="E11" s="276">
        <f>SUM(E12+E18+E19)</f>
        <v>0</v>
      </c>
      <c r="F11" s="276">
        <f>SUM(F12+F18+F19)</f>
        <v>0</v>
      </c>
      <c r="G11" s="276">
        <f>SUM(G12+G18+G19)</f>
        <v>982920514</v>
      </c>
      <c r="H11" s="118">
        <f t="shared" ref="H11:H61" si="0">G11/D11*100</f>
        <v>100</v>
      </c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</row>
    <row r="12" spans="1:30" s="20" customFormat="1" ht="20.100000000000001" customHeight="1">
      <c r="A12" s="121" t="s">
        <v>163</v>
      </c>
      <c r="B12" s="458" t="s">
        <v>195</v>
      </c>
      <c r="C12" s="276">
        <f>SUM(C13:C17)</f>
        <v>368611389</v>
      </c>
      <c r="D12" s="276">
        <f>SUM(D13:D17)</f>
        <v>387608722</v>
      </c>
      <c r="E12" s="276">
        <f>SUM(E13:E17)</f>
        <v>0</v>
      </c>
      <c r="F12" s="276">
        <f>SUM(F13:F17)</f>
        <v>0</v>
      </c>
      <c r="G12" s="276">
        <f>SUM(G13:G17)</f>
        <v>387608722</v>
      </c>
      <c r="H12" s="118">
        <f t="shared" si="0"/>
        <v>100</v>
      </c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</row>
    <row r="13" spans="1:30" ht="14.45" customHeight="1">
      <c r="A13" s="113" t="s">
        <v>491</v>
      </c>
      <c r="B13" s="636" t="s">
        <v>490</v>
      </c>
      <c r="C13" s="315">
        <v>300294416</v>
      </c>
      <c r="D13" s="315">
        <v>301547642</v>
      </c>
      <c r="E13" s="315"/>
      <c r="F13" s="315"/>
      <c r="G13" s="315">
        <v>301547642</v>
      </c>
      <c r="H13" s="316">
        <f t="shared" si="0"/>
        <v>100</v>
      </c>
      <c r="I13" s="46"/>
      <c r="J13" s="46"/>
      <c r="AC13"/>
      <c r="AD13"/>
    </row>
    <row r="14" spans="1:30" ht="14.45" customHeight="1">
      <c r="A14" s="113" t="s">
        <v>492</v>
      </c>
      <c r="B14" s="636" t="s">
        <v>1112</v>
      </c>
      <c r="C14" s="315">
        <v>0</v>
      </c>
      <c r="D14" s="315">
        <v>9069885</v>
      </c>
      <c r="E14" s="315"/>
      <c r="F14" s="315"/>
      <c r="G14" s="315">
        <v>9069885</v>
      </c>
      <c r="H14" s="316">
        <f t="shared" si="0"/>
        <v>100</v>
      </c>
      <c r="I14" s="46"/>
      <c r="J14" s="46"/>
      <c r="AC14"/>
      <c r="AD14"/>
    </row>
    <row r="15" spans="1:30" ht="14.45" customHeight="1">
      <c r="A15" s="113" t="s">
        <v>493</v>
      </c>
      <c r="B15" s="636" t="s">
        <v>450</v>
      </c>
      <c r="C15" s="315">
        <v>65848973</v>
      </c>
      <c r="D15" s="315">
        <v>60921731</v>
      </c>
      <c r="E15" s="315"/>
      <c r="F15" s="315"/>
      <c r="G15" s="315">
        <v>60921731</v>
      </c>
      <c r="H15" s="316">
        <f t="shared" si="0"/>
        <v>100</v>
      </c>
      <c r="I15" s="46"/>
      <c r="J15" s="46"/>
      <c r="AC15"/>
      <c r="AD15"/>
    </row>
    <row r="16" spans="1:30" ht="14.45" customHeight="1">
      <c r="A16" s="113" t="s">
        <v>903</v>
      </c>
      <c r="B16" s="636" t="s">
        <v>912</v>
      </c>
      <c r="C16" s="315">
        <v>2468000</v>
      </c>
      <c r="D16" s="315">
        <v>2468000</v>
      </c>
      <c r="E16" s="315"/>
      <c r="F16" s="315"/>
      <c r="G16" s="315">
        <v>2468000</v>
      </c>
      <c r="H16" s="316">
        <f t="shared" si="0"/>
        <v>100</v>
      </c>
      <c r="I16" s="46"/>
      <c r="J16" s="46"/>
      <c r="AC16"/>
      <c r="AD16"/>
    </row>
    <row r="17" spans="1:30" ht="14.45" customHeight="1">
      <c r="A17" s="113" t="s">
        <v>494</v>
      </c>
      <c r="B17" s="636" t="s">
        <v>1113</v>
      </c>
      <c r="C17" s="315">
        <v>0</v>
      </c>
      <c r="D17" s="315">
        <v>13601464</v>
      </c>
      <c r="E17" s="315"/>
      <c r="F17" s="315"/>
      <c r="G17" s="315">
        <v>13601464</v>
      </c>
      <c r="H17" s="316">
        <f t="shared" si="0"/>
        <v>100</v>
      </c>
      <c r="I17" s="46"/>
      <c r="J17" s="46"/>
      <c r="AC17"/>
      <c r="AD17"/>
    </row>
    <row r="18" spans="1:30" s="20" customFormat="1" ht="20.100000000000001" customHeight="1">
      <c r="A18" s="121" t="s">
        <v>165</v>
      </c>
      <c r="B18" s="458" t="s">
        <v>485</v>
      </c>
      <c r="C18" s="276">
        <v>368611389</v>
      </c>
      <c r="D18" s="276">
        <v>388199158</v>
      </c>
      <c r="E18" s="276"/>
      <c r="F18" s="276"/>
      <c r="G18" s="276">
        <v>388199158</v>
      </c>
      <c r="H18" s="118">
        <f t="shared" si="0"/>
        <v>100</v>
      </c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</row>
    <row r="19" spans="1:30" s="20" customFormat="1" ht="20.100000000000001" customHeight="1">
      <c r="A19" s="121" t="s">
        <v>167</v>
      </c>
      <c r="B19" s="458" t="s">
        <v>486</v>
      </c>
      <c r="C19" s="276">
        <f>SUM(C20:C21,C33,C24,C34,C35)</f>
        <v>198283659</v>
      </c>
      <c r="D19" s="276">
        <f>SUM(D20:D21,D33,D24,D34,D35)</f>
        <v>207112634</v>
      </c>
      <c r="E19" s="276">
        <f>SUM(E20:E21,E33,E24,E34,E35)</f>
        <v>0</v>
      </c>
      <c r="F19" s="276">
        <f>SUM(F20:F21,F33,F24,F34,F35)</f>
        <v>0</v>
      </c>
      <c r="G19" s="276">
        <f>SUM(G20:G21,G33,G24,G34,G35)</f>
        <v>207112634</v>
      </c>
      <c r="H19" s="118">
        <f t="shared" si="0"/>
        <v>100</v>
      </c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</row>
    <row r="20" spans="1:30" s="20" customFormat="1" ht="14.45" customHeight="1">
      <c r="A20" s="121" t="s">
        <v>487</v>
      </c>
      <c r="B20" s="458" t="s">
        <v>971</v>
      </c>
      <c r="C20" s="276">
        <v>8433464</v>
      </c>
      <c r="D20" s="276">
        <v>8434180</v>
      </c>
      <c r="E20" s="276"/>
      <c r="F20" s="276"/>
      <c r="G20" s="276">
        <v>8434180</v>
      </c>
      <c r="H20" s="118">
        <f t="shared" si="0"/>
        <v>100</v>
      </c>
    </row>
    <row r="21" spans="1:30" s="20" customFormat="1" ht="14.45" customHeight="1">
      <c r="A21" s="121" t="s">
        <v>488</v>
      </c>
      <c r="B21" s="458" t="s">
        <v>451</v>
      </c>
      <c r="C21" s="276">
        <f>SUM(C22:C23)</f>
        <v>12634156</v>
      </c>
      <c r="D21" s="276">
        <f>SUM(D22:D23)</f>
        <v>15708484</v>
      </c>
      <c r="E21" s="276"/>
      <c r="F21" s="276"/>
      <c r="G21" s="276">
        <f>SUM(G22:G23)</f>
        <v>15708484</v>
      </c>
      <c r="H21" s="118">
        <f t="shared" si="0"/>
        <v>100</v>
      </c>
    </row>
    <row r="22" spans="1:30" s="20" customFormat="1" ht="14.45" customHeight="1">
      <c r="A22" s="113" t="s">
        <v>972</v>
      </c>
      <c r="B22" s="314" t="s">
        <v>1179</v>
      </c>
      <c r="C22" s="315">
        <v>12066545</v>
      </c>
      <c r="D22" s="315">
        <v>12066545</v>
      </c>
      <c r="E22" s="315"/>
      <c r="F22" s="315"/>
      <c r="G22" s="315">
        <v>12066545</v>
      </c>
      <c r="H22" s="118">
        <f t="shared" si="0"/>
        <v>100</v>
      </c>
    </row>
    <row r="23" spans="1:30" s="20" customFormat="1" ht="28.9" customHeight="1">
      <c r="A23" s="113" t="s">
        <v>973</v>
      </c>
      <c r="B23" s="314" t="s">
        <v>1180</v>
      </c>
      <c r="C23" s="315">
        <v>567611</v>
      </c>
      <c r="D23" s="315">
        <v>3641939</v>
      </c>
      <c r="E23" s="315"/>
      <c r="F23" s="315"/>
      <c r="G23" s="315">
        <v>3641939</v>
      </c>
      <c r="H23" s="316">
        <f t="shared" si="0"/>
        <v>100</v>
      </c>
    </row>
    <row r="24" spans="1:30" s="20" customFormat="1" ht="14.45" customHeight="1">
      <c r="A24" s="409" t="s">
        <v>489</v>
      </c>
      <c r="B24" s="412" t="s">
        <v>974</v>
      </c>
      <c r="C24" s="276">
        <f>SUM(C25:C32)</f>
        <v>175691234</v>
      </c>
      <c r="D24" s="276">
        <f>SUM(D25:D32)</f>
        <v>173612552</v>
      </c>
      <c r="E24" s="276">
        <f>SUM(E25:E32)</f>
        <v>0</v>
      </c>
      <c r="F24" s="276">
        <f>SUM(F25:F32)</f>
        <v>0</v>
      </c>
      <c r="G24" s="276">
        <f>SUM(G25:G32)</f>
        <v>173612552</v>
      </c>
      <c r="H24" s="119">
        <f t="shared" si="0"/>
        <v>100</v>
      </c>
    </row>
    <row r="25" spans="1:30" ht="14.45" customHeight="1">
      <c r="A25" s="113" t="s">
        <v>863</v>
      </c>
      <c r="B25" s="314" t="s">
        <v>920</v>
      </c>
      <c r="C25" s="315">
        <v>20239937</v>
      </c>
      <c r="D25" s="315">
        <v>20239937</v>
      </c>
      <c r="E25" s="315"/>
      <c r="F25" s="315"/>
      <c r="G25" s="315">
        <v>20239937</v>
      </c>
      <c r="H25" s="316">
        <f t="shared" si="0"/>
        <v>100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1:30" ht="14.45" customHeight="1">
      <c r="A26" s="113" t="s">
        <v>864</v>
      </c>
      <c r="B26" s="314" t="s">
        <v>926</v>
      </c>
      <c r="C26" s="315">
        <v>0</v>
      </c>
      <c r="D26" s="315">
        <v>2346000</v>
      </c>
      <c r="E26" s="315"/>
      <c r="F26" s="315"/>
      <c r="G26" s="315">
        <v>2346000</v>
      </c>
      <c r="H26" s="316">
        <f t="shared" si="0"/>
        <v>100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</row>
    <row r="27" spans="1:30" ht="14.45" customHeight="1">
      <c r="A27" s="113" t="s">
        <v>865</v>
      </c>
      <c r="B27" s="314" t="s">
        <v>867</v>
      </c>
      <c r="C27" s="315">
        <v>6740507</v>
      </c>
      <c r="D27" s="315">
        <v>6740507</v>
      </c>
      <c r="E27" s="315"/>
      <c r="F27" s="315"/>
      <c r="G27" s="315">
        <v>6740507</v>
      </c>
      <c r="H27" s="316">
        <f t="shared" si="0"/>
        <v>100</v>
      </c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</row>
    <row r="28" spans="1:30" ht="14.45" customHeight="1">
      <c r="A28" s="113" t="s">
        <v>975</v>
      </c>
      <c r="B28" s="314" t="s">
        <v>868</v>
      </c>
      <c r="C28" s="315">
        <v>34562543</v>
      </c>
      <c r="D28" s="315">
        <v>34562543</v>
      </c>
      <c r="E28" s="315"/>
      <c r="F28" s="315"/>
      <c r="G28" s="315">
        <v>34562543</v>
      </c>
      <c r="H28" s="316">
        <f t="shared" si="0"/>
        <v>100</v>
      </c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</row>
    <row r="29" spans="1:30" ht="14.45" customHeight="1">
      <c r="A29" s="113" t="s">
        <v>976</v>
      </c>
      <c r="B29" s="314" t="s">
        <v>860</v>
      </c>
      <c r="C29" s="315">
        <v>35870019</v>
      </c>
      <c r="D29" s="315">
        <v>33095471</v>
      </c>
      <c r="E29" s="315"/>
      <c r="F29" s="315"/>
      <c r="G29" s="315">
        <v>33095471</v>
      </c>
      <c r="H29" s="316">
        <f t="shared" si="0"/>
        <v>100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</row>
    <row r="30" spans="1:30" ht="14.45" customHeight="1">
      <c r="A30" s="113" t="s">
        <v>977</v>
      </c>
      <c r="B30" s="314" t="s">
        <v>861</v>
      </c>
      <c r="C30" s="315">
        <v>64627335</v>
      </c>
      <c r="D30" s="315">
        <v>63009091</v>
      </c>
      <c r="E30" s="315"/>
      <c r="F30" s="315"/>
      <c r="G30" s="315">
        <v>63009091</v>
      </c>
      <c r="H30" s="316">
        <f t="shared" si="0"/>
        <v>100</v>
      </c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</row>
    <row r="31" spans="1:30" ht="30" customHeight="1">
      <c r="A31" s="113" t="s">
        <v>1141</v>
      </c>
      <c r="B31" s="314" t="s">
        <v>1180</v>
      </c>
      <c r="C31" s="315">
        <v>0</v>
      </c>
      <c r="D31" s="315">
        <v>64929</v>
      </c>
      <c r="E31" s="315"/>
      <c r="F31" s="315"/>
      <c r="G31" s="315">
        <v>64929</v>
      </c>
      <c r="H31" s="316">
        <f t="shared" si="0"/>
        <v>100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</row>
    <row r="32" spans="1:30" ht="14.45" customHeight="1">
      <c r="A32" s="113" t="s">
        <v>1115</v>
      </c>
      <c r="B32" s="314" t="s">
        <v>862</v>
      </c>
      <c r="C32" s="315">
        <v>13650893</v>
      </c>
      <c r="D32" s="315">
        <v>13554074</v>
      </c>
      <c r="E32" s="315"/>
      <c r="F32" s="315"/>
      <c r="G32" s="315">
        <v>13554074</v>
      </c>
      <c r="H32" s="316">
        <f t="shared" si="0"/>
        <v>100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33" spans="1:30" s="20" customFormat="1" ht="21" customHeight="1">
      <c r="A33" s="121" t="s">
        <v>876</v>
      </c>
      <c r="B33" s="458" t="s">
        <v>449</v>
      </c>
      <c r="C33" s="276">
        <v>1180872</v>
      </c>
      <c r="D33" s="276">
        <v>590436</v>
      </c>
      <c r="E33" s="276"/>
      <c r="F33" s="276"/>
      <c r="G33" s="276">
        <v>590436</v>
      </c>
      <c r="H33" s="316">
        <f t="shared" si="0"/>
        <v>100</v>
      </c>
    </row>
    <row r="34" spans="1:30" ht="20.100000000000001" customHeight="1">
      <c r="A34" s="121" t="s">
        <v>1116</v>
      </c>
      <c r="B34" s="458" t="s">
        <v>1117</v>
      </c>
      <c r="C34" s="276">
        <v>343933</v>
      </c>
      <c r="D34" s="276">
        <v>343933</v>
      </c>
      <c r="E34" s="276">
        <v>0</v>
      </c>
      <c r="F34" s="276">
        <v>0</v>
      </c>
      <c r="G34" s="276">
        <v>343933</v>
      </c>
      <c r="H34" s="118">
        <f t="shared" si="0"/>
        <v>100</v>
      </c>
      <c r="I34" s="46"/>
      <c r="J34" s="46"/>
      <c r="AC34"/>
      <c r="AD34"/>
    </row>
    <row r="35" spans="1:30" ht="20.100000000000001" customHeight="1">
      <c r="A35" s="121" t="s">
        <v>1118</v>
      </c>
      <c r="B35" s="121" t="s">
        <v>1119</v>
      </c>
      <c r="C35" s="276">
        <v>0</v>
      </c>
      <c r="D35" s="276">
        <v>8423049</v>
      </c>
      <c r="E35" s="276"/>
      <c r="F35" s="276"/>
      <c r="G35" s="276">
        <v>8423049</v>
      </c>
      <c r="H35" s="118">
        <f t="shared" si="0"/>
        <v>100</v>
      </c>
      <c r="I35" s="46"/>
      <c r="J35" s="46"/>
      <c r="AC35"/>
      <c r="AD35"/>
    </row>
    <row r="36" spans="1:30" ht="28.5" customHeight="1">
      <c r="A36" s="121" t="s">
        <v>143</v>
      </c>
      <c r="B36" s="86" t="s">
        <v>496</v>
      </c>
      <c r="C36" s="276">
        <f>SUM(C37,C42,C44)</f>
        <v>892917</v>
      </c>
      <c r="D36" s="276">
        <f t="shared" ref="D36:G36" si="1">SUM(D37,D42,D44)</f>
        <v>1377137</v>
      </c>
      <c r="E36" s="276">
        <f t="shared" si="1"/>
        <v>0</v>
      </c>
      <c r="F36" s="276">
        <f t="shared" si="1"/>
        <v>0</v>
      </c>
      <c r="G36" s="276">
        <f t="shared" si="1"/>
        <v>1377137</v>
      </c>
      <c r="H36" s="118">
        <f t="shared" si="0"/>
        <v>100</v>
      </c>
      <c r="I36" s="46"/>
      <c r="J36" s="46"/>
      <c r="AC36"/>
      <c r="AD36"/>
    </row>
    <row r="37" spans="1:30" s="20" customFormat="1" ht="14.25" customHeight="1">
      <c r="A37" s="121" t="s">
        <v>145</v>
      </c>
      <c r="B37" s="458" t="s">
        <v>974</v>
      </c>
      <c r="C37" s="276">
        <f>SUM(C38:C41)</f>
        <v>892917</v>
      </c>
      <c r="D37" s="276">
        <f>SUM(D38:D41)</f>
        <v>892917</v>
      </c>
      <c r="E37" s="276">
        <f>SUM(E38:E41)</f>
        <v>0</v>
      </c>
      <c r="F37" s="276">
        <f>SUM(F38:F41)</f>
        <v>0</v>
      </c>
      <c r="G37" s="276">
        <f>SUM(G38:G41)</f>
        <v>892917</v>
      </c>
      <c r="H37" s="118">
        <f t="shared" si="0"/>
        <v>100</v>
      </c>
    </row>
    <row r="38" spans="1:30" ht="14.25" customHeight="1">
      <c r="A38" s="113" t="s">
        <v>982</v>
      </c>
      <c r="B38" s="314" t="s">
        <v>984</v>
      </c>
      <c r="C38" s="315">
        <v>92917</v>
      </c>
      <c r="D38" s="315">
        <v>92917</v>
      </c>
      <c r="E38" s="315"/>
      <c r="F38" s="315"/>
      <c r="G38" s="315">
        <v>92917</v>
      </c>
      <c r="H38" s="316">
        <f t="shared" si="0"/>
        <v>100</v>
      </c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</row>
    <row r="39" spans="1:30" ht="14.25" customHeight="1">
      <c r="A39" s="113" t="s">
        <v>991</v>
      </c>
      <c r="B39" s="314" t="s">
        <v>985</v>
      </c>
      <c r="C39" s="315">
        <v>450000</v>
      </c>
      <c r="D39" s="315">
        <v>450000</v>
      </c>
      <c r="E39" s="315"/>
      <c r="F39" s="315"/>
      <c r="G39" s="315">
        <v>450000</v>
      </c>
      <c r="H39" s="316">
        <f t="shared" si="0"/>
        <v>100</v>
      </c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</row>
    <row r="40" spans="1:30" ht="14.25" customHeight="1">
      <c r="A40" s="113" t="s">
        <v>1170</v>
      </c>
      <c r="B40" s="314" t="s">
        <v>986</v>
      </c>
      <c r="C40" s="315">
        <v>250000</v>
      </c>
      <c r="D40" s="315">
        <v>250000</v>
      </c>
      <c r="E40" s="315"/>
      <c r="F40" s="315"/>
      <c r="G40" s="315">
        <v>250000</v>
      </c>
      <c r="H40" s="316">
        <f t="shared" si="0"/>
        <v>100</v>
      </c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</row>
    <row r="41" spans="1:30" ht="14.25" customHeight="1">
      <c r="A41" s="113" t="s">
        <v>992</v>
      </c>
      <c r="B41" s="314" t="s">
        <v>987</v>
      </c>
      <c r="C41" s="315">
        <v>100000</v>
      </c>
      <c r="D41" s="315">
        <v>100000</v>
      </c>
      <c r="E41" s="315"/>
      <c r="F41" s="315"/>
      <c r="G41" s="315">
        <v>100000</v>
      </c>
      <c r="H41" s="316">
        <f t="shared" si="0"/>
        <v>100</v>
      </c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</row>
    <row r="42" spans="1:30" ht="21.75" customHeight="1">
      <c r="A42" s="121" t="s">
        <v>1142</v>
      </c>
      <c r="B42" s="458" t="s">
        <v>1122</v>
      </c>
      <c r="C42" s="276">
        <f>SUM(C43:C43)</f>
        <v>0</v>
      </c>
      <c r="D42" s="276">
        <f>SUM(D43:D43)</f>
        <v>242110</v>
      </c>
      <c r="E42" s="276">
        <f>SUM(E43:E43)</f>
        <v>0</v>
      </c>
      <c r="F42" s="276">
        <f>SUM(F43:F43)</f>
        <v>0</v>
      </c>
      <c r="G42" s="276">
        <f>SUM(G43:G43)</f>
        <v>242110</v>
      </c>
      <c r="H42" s="118">
        <f t="shared" si="0"/>
        <v>100</v>
      </c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</row>
    <row r="43" spans="1:30" s="20" customFormat="1" ht="28.5" customHeight="1">
      <c r="A43" s="113" t="s">
        <v>1143</v>
      </c>
      <c r="B43" s="314" t="s">
        <v>1124</v>
      </c>
      <c r="C43" s="276">
        <v>0</v>
      </c>
      <c r="D43" s="276">
        <v>242110</v>
      </c>
      <c r="E43" s="276"/>
      <c r="F43" s="276"/>
      <c r="G43" s="276">
        <v>242110</v>
      </c>
      <c r="H43" s="118">
        <f t="shared" si="0"/>
        <v>100</v>
      </c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</row>
    <row r="44" spans="1:30" s="20" customFormat="1" ht="15" customHeight="1">
      <c r="A44" s="121" t="s">
        <v>1017</v>
      </c>
      <c r="B44" s="458" t="s">
        <v>1013</v>
      </c>
      <c r="C44" s="276">
        <v>0</v>
      </c>
      <c r="D44" s="276">
        <v>242110</v>
      </c>
      <c r="E44" s="276"/>
      <c r="F44" s="276"/>
      <c r="G44" s="276">
        <v>242110</v>
      </c>
      <c r="H44" s="118">
        <f t="shared" si="0"/>
        <v>100</v>
      </c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</row>
    <row r="45" spans="1:30" ht="21" customHeight="1">
      <c r="A45" s="121" t="s">
        <v>147</v>
      </c>
      <c r="B45" s="86" t="s">
        <v>911</v>
      </c>
      <c r="C45" s="276">
        <f>SUM(C46,C56,C61)</f>
        <v>88915099</v>
      </c>
      <c r="D45" s="276">
        <f>SUM(D46,D56)</f>
        <v>88915099</v>
      </c>
      <c r="E45" s="276">
        <f t="shared" ref="E45:G45" si="2">SUM(E46,E56)</f>
        <v>0</v>
      </c>
      <c r="F45" s="276">
        <f t="shared" si="2"/>
        <v>0</v>
      </c>
      <c r="G45" s="276">
        <f t="shared" si="2"/>
        <v>88915099</v>
      </c>
      <c r="H45" s="316">
        <f t="shared" si="0"/>
        <v>100</v>
      </c>
      <c r="I45" s="46"/>
      <c r="J45" s="46"/>
      <c r="AC45"/>
      <c r="AD45"/>
    </row>
    <row r="46" spans="1:30" s="20" customFormat="1" ht="15" customHeight="1">
      <c r="A46" s="121" t="s">
        <v>184</v>
      </c>
      <c r="B46" s="86" t="s">
        <v>497</v>
      </c>
      <c r="C46" s="276">
        <f>SUM(C47,C51,C53,C54,C55)</f>
        <v>86041253</v>
      </c>
      <c r="D46" s="276">
        <f>SUM(D47,D51,D53,D54,D55)</f>
        <v>86042662</v>
      </c>
      <c r="E46" s="276">
        <f t="shared" ref="E46:G46" si="3">SUM(E47,E51,E53,E54,E55)</f>
        <v>0</v>
      </c>
      <c r="F46" s="276">
        <f t="shared" si="3"/>
        <v>0</v>
      </c>
      <c r="G46" s="276">
        <f t="shared" si="3"/>
        <v>86042662</v>
      </c>
      <c r="H46" s="118">
        <f t="shared" si="0"/>
        <v>100</v>
      </c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</row>
    <row r="47" spans="1:30" ht="15" customHeight="1">
      <c r="A47" s="113" t="s">
        <v>1019</v>
      </c>
      <c r="B47" s="636" t="s">
        <v>988</v>
      </c>
      <c r="C47" s="315">
        <v>26897792</v>
      </c>
      <c r="D47" s="315">
        <v>26897792</v>
      </c>
      <c r="E47" s="276"/>
      <c r="F47" s="276"/>
      <c r="G47" s="315">
        <v>26897792</v>
      </c>
      <c r="H47" s="316">
        <f t="shared" si="0"/>
        <v>100</v>
      </c>
      <c r="I47" s="46"/>
      <c r="J47" s="46"/>
      <c r="AC47"/>
      <c r="AD47"/>
    </row>
    <row r="48" spans="1:30" s="492" customFormat="1" ht="15" customHeight="1">
      <c r="A48" s="114"/>
      <c r="B48" s="406" t="s">
        <v>1181</v>
      </c>
      <c r="C48" s="105">
        <v>15754704</v>
      </c>
      <c r="D48" s="105">
        <v>15754704</v>
      </c>
      <c r="E48" s="413"/>
      <c r="F48" s="413"/>
      <c r="G48" s="105">
        <v>15754704</v>
      </c>
      <c r="H48" s="316">
        <f t="shared" si="0"/>
        <v>100</v>
      </c>
      <c r="I48" s="551"/>
      <c r="J48" s="551"/>
      <c r="K48" s="551"/>
      <c r="L48" s="551"/>
      <c r="M48" s="551"/>
      <c r="N48" s="551"/>
      <c r="O48" s="551"/>
      <c r="P48" s="551"/>
      <c r="Q48" s="551"/>
      <c r="R48" s="551"/>
      <c r="S48" s="551"/>
      <c r="T48" s="551"/>
      <c r="U48" s="551"/>
      <c r="V48" s="551"/>
      <c r="W48" s="551"/>
      <c r="X48" s="551"/>
      <c r="Y48" s="551"/>
      <c r="Z48" s="551"/>
      <c r="AA48" s="551"/>
      <c r="AB48" s="551"/>
    </row>
    <row r="49" spans="1:30" s="492" customFormat="1" ht="28.5" customHeight="1">
      <c r="A49" s="114"/>
      <c r="B49" s="406" t="s">
        <v>1186</v>
      </c>
      <c r="C49" s="105">
        <v>405251</v>
      </c>
      <c r="D49" s="105">
        <v>405251</v>
      </c>
      <c r="E49" s="413"/>
      <c r="F49" s="413"/>
      <c r="G49" s="105">
        <v>405251</v>
      </c>
      <c r="H49" s="316">
        <f t="shared" si="0"/>
        <v>100</v>
      </c>
      <c r="I49" s="551"/>
      <c r="J49" s="551"/>
      <c r="K49" s="551"/>
      <c r="L49" s="551"/>
      <c r="M49" s="551"/>
      <c r="N49" s="551"/>
      <c r="O49" s="551"/>
      <c r="P49" s="551"/>
      <c r="Q49" s="551"/>
      <c r="R49" s="551"/>
      <c r="S49" s="551"/>
      <c r="T49" s="551"/>
      <c r="U49" s="551"/>
      <c r="V49" s="551"/>
      <c r="W49" s="551"/>
      <c r="X49" s="551"/>
      <c r="Y49" s="551"/>
      <c r="Z49" s="551"/>
      <c r="AA49" s="551"/>
      <c r="AB49" s="551"/>
    </row>
    <row r="50" spans="1:30" s="492" customFormat="1" ht="15" customHeight="1">
      <c r="A50" s="114"/>
      <c r="B50" s="406" t="s">
        <v>989</v>
      </c>
      <c r="C50" s="105">
        <v>93998</v>
      </c>
      <c r="D50" s="105">
        <v>93998</v>
      </c>
      <c r="E50" s="413"/>
      <c r="F50" s="413"/>
      <c r="G50" s="105">
        <v>93998</v>
      </c>
      <c r="H50" s="316">
        <f t="shared" si="0"/>
        <v>100</v>
      </c>
      <c r="I50" s="551"/>
      <c r="J50" s="551"/>
      <c r="K50" s="551"/>
      <c r="L50" s="551"/>
      <c r="M50" s="551"/>
      <c r="N50" s="551"/>
      <c r="O50" s="551"/>
      <c r="P50" s="551"/>
      <c r="Q50" s="551"/>
      <c r="R50" s="551"/>
      <c r="S50" s="551"/>
      <c r="T50" s="551"/>
      <c r="U50" s="551"/>
      <c r="V50" s="551"/>
      <c r="W50" s="551"/>
      <c r="X50" s="551"/>
      <c r="Y50" s="551"/>
      <c r="Z50" s="551"/>
      <c r="AA50" s="551"/>
      <c r="AB50" s="551"/>
    </row>
    <row r="51" spans="1:30" ht="15" customHeight="1">
      <c r="A51" s="113" t="s">
        <v>1020</v>
      </c>
      <c r="B51" s="314" t="s">
        <v>955</v>
      </c>
      <c r="C51" s="315">
        <v>22889754</v>
      </c>
      <c r="D51" s="315">
        <v>22889754</v>
      </c>
      <c r="E51" s="276"/>
      <c r="F51" s="276"/>
      <c r="G51" s="315">
        <v>22889754</v>
      </c>
      <c r="H51" s="316">
        <f t="shared" si="0"/>
        <v>100</v>
      </c>
      <c r="I51" s="46"/>
      <c r="J51" s="46"/>
      <c r="AC51"/>
      <c r="AD51"/>
    </row>
    <row r="52" spans="1:30" s="492" customFormat="1" ht="18" customHeight="1">
      <c r="A52" s="114"/>
      <c r="B52" s="475" t="s">
        <v>1181</v>
      </c>
      <c r="C52" s="105">
        <v>1467293</v>
      </c>
      <c r="D52" s="105">
        <v>1468702</v>
      </c>
      <c r="E52" s="413"/>
      <c r="F52" s="413"/>
      <c r="G52" s="105">
        <v>1468702</v>
      </c>
      <c r="H52" s="316">
        <f t="shared" si="0"/>
        <v>100</v>
      </c>
      <c r="I52" s="551"/>
      <c r="J52" s="551"/>
      <c r="K52" s="551"/>
      <c r="L52" s="551"/>
      <c r="M52" s="551"/>
      <c r="N52" s="551"/>
      <c r="O52" s="551"/>
      <c r="P52" s="551"/>
      <c r="Q52" s="551"/>
      <c r="R52" s="551"/>
      <c r="S52" s="551"/>
      <c r="T52" s="551"/>
      <c r="U52" s="551"/>
      <c r="V52" s="551"/>
      <c r="W52" s="551"/>
      <c r="X52" s="551"/>
      <c r="Y52" s="551"/>
      <c r="Z52" s="551"/>
      <c r="AA52" s="551"/>
      <c r="AB52" s="551"/>
    </row>
    <row r="53" spans="1:30" ht="15" customHeight="1">
      <c r="A53" s="113" t="s">
        <v>1021</v>
      </c>
      <c r="B53" s="314" t="s">
        <v>990</v>
      </c>
      <c r="C53" s="315">
        <v>28978829</v>
      </c>
      <c r="D53" s="315">
        <v>28978829</v>
      </c>
      <c r="E53" s="276"/>
      <c r="F53" s="276"/>
      <c r="G53" s="315">
        <v>28978829</v>
      </c>
      <c r="H53" s="316">
        <f t="shared" si="0"/>
        <v>100</v>
      </c>
      <c r="I53" s="46"/>
      <c r="J53" s="46"/>
      <c r="AC53"/>
      <c r="AD53"/>
    </row>
    <row r="54" spans="1:30" ht="15" customHeight="1">
      <c r="A54" s="113" t="s">
        <v>1022</v>
      </c>
      <c r="B54" s="314" t="s">
        <v>901</v>
      </c>
      <c r="C54" s="315">
        <v>7274878</v>
      </c>
      <c r="D54" s="315">
        <v>7274878</v>
      </c>
      <c r="E54" s="276"/>
      <c r="F54" s="276"/>
      <c r="G54" s="315">
        <v>7274878</v>
      </c>
      <c r="H54" s="316">
        <f t="shared" si="0"/>
        <v>100</v>
      </c>
      <c r="I54" s="46"/>
      <c r="J54" s="46"/>
      <c r="AC54"/>
      <c r="AD54"/>
    </row>
    <row r="55" spans="1:30" ht="28.5" customHeight="1">
      <c r="A55" s="113" t="s">
        <v>1125</v>
      </c>
      <c r="B55" s="458" t="s">
        <v>1126</v>
      </c>
      <c r="C55" s="315">
        <v>0</v>
      </c>
      <c r="D55" s="315">
        <v>1409</v>
      </c>
      <c r="E55" s="276"/>
      <c r="F55" s="276"/>
      <c r="G55" s="315">
        <v>1409</v>
      </c>
      <c r="H55" s="316">
        <f t="shared" si="0"/>
        <v>100</v>
      </c>
      <c r="I55" s="46"/>
      <c r="J55" s="46"/>
      <c r="AC55"/>
      <c r="AD55"/>
    </row>
    <row r="56" spans="1:30" s="20" customFormat="1" ht="15" customHeight="1">
      <c r="A56" s="121" t="s">
        <v>1010</v>
      </c>
      <c r="B56" s="86" t="s">
        <v>910</v>
      </c>
      <c r="C56" s="276">
        <f>SUM(C57:C61)</f>
        <v>2873846</v>
      </c>
      <c r="D56" s="276">
        <f>SUM(D57:D61)</f>
        <v>2872437</v>
      </c>
      <c r="E56" s="276">
        <f>SUM(E57:E61)</f>
        <v>0</v>
      </c>
      <c r="F56" s="276">
        <f>SUM(F57:F61)</f>
        <v>0</v>
      </c>
      <c r="G56" s="276">
        <f>SUM(G57:G61)</f>
        <v>2872437</v>
      </c>
      <c r="H56" s="118">
        <f t="shared" si="0"/>
        <v>100</v>
      </c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</row>
    <row r="57" spans="1:30" ht="15" customHeight="1">
      <c r="A57" s="113" t="s">
        <v>1023</v>
      </c>
      <c r="B57" s="314" t="s">
        <v>1182</v>
      </c>
      <c r="C57" s="315">
        <v>2051767</v>
      </c>
      <c r="D57" s="315">
        <v>2051767</v>
      </c>
      <c r="E57" s="276"/>
      <c r="F57" s="276"/>
      <c r="G57" s="315">
        <v>2051767</v>
      </c>
      <c r="H57" s="316">
        <f t="shared" si="0"/>
        <v>100</v>
      </c>
      <c r="I57" s="46"/>
      <c r="J57" s="46"/>
      <c r="AC57"/>
      <c r="AD57"/>
    </row>
    <row r="58" spans="1:30" ht="15" customHeight="1">
      <c r="A58" s="113"/>
      <c r="B58" s="314" t="s">
        <v>988</v>
      </c>
      <c r="C58" s="315">
        <v>807083</v>
      </c>
      <c r="D58" s="315">
        <v>807083</v>
      </c>
      <c r="E58" s="276"/>
      <c r="F58" s="276"/>
      <c r="G58" s="315">
        <v>807083</v>
      </c>
      <c r="H58" s="316">
        <f t="shared" si="0"/>
        <v>100</v>
      </c>
      <c r="I58" s="46"/>
      <c r="J58" s="46"/>
      <c r="AC58"/>
      <c r="AD58"/>
    </row>
    <row r="59" spans="1:30" ht="15" customHeight="1">
      <c r="A59" s="113" t="s">
        <v>1024</v>
      </c>
      <c r="B59" s="314" t="s">
        <v>901</v>
      </c>
      <c r="C59" s="315">
        <v>10246</v>
      </c>
      <c r="D59" s="315">
        <v>10246</v>
      </c>
      <c r="E59" s="276"/>
      <c r="F59" s="276"/>
      <c r="G59" s="315">
        <v>10246</v>
      </c>
      <c r="H59" s="316">
        <f t="shared" si="0"/>
        <v>100</v>
      </c>
      <c r="I59" s="46"/>
      <c r="J59" s="46"/>
      <c r="AC59"/>
      <c r="AD59"/>
    </row>
    <row r="60" spans="1:30" ht="27" customHeight="1">
      <c r="A60" s="113" t="s">
        <v>1025</v>
      </c>
      <c r="B60" s="314" t="s">
        <v>1187</v>
      </c>
      <c r="C60" s="315">
        <v>4750</v>
      </c>
      <c r="D60" s="315">
        <v>4750</v>
      </c>
      <c r="E60" s="276"/>
      <c r="F60" s="276"/>
      <c r="G60" s="315">
        <v>4750</v>
      </c>
      <c r="H60" s="316">
        <f t="shared" si="0"/>
        <v>100</v>
      </c>
      <c r="I60" s="46"/>
      <c r="J60" s="46"/>
      <c r="AC60"/>
      <c r="AD60"/>
    </row>
    <row r="61" spans="1:30" ht="27" customHeight="1">
      <c r="A61" s="121" t="s">
        <v>1168</v>
      </c>
      <c r="B61" s="458" t="s">
        <v>1126</v>
      </c>
      <c r="C61" s="315">
        <v>0</v>
      </c>
      <c r="D61" s="315">
        <v>-1409</v>
      </c>
      <c r="E61" s="276"/>
      <c r="F61" s="276"/>
      <c r="G61" s="315">
        <v>-1409</v>
      </c>
      <c r="H61" s="316">
        <f t="shared" si="0"/>
        <v>100</v>
      </c>
      <c r="I61" s="46"/>
      <c r="J61" s="46"/>
      <c r="AC61"/>
      <c r="AD61"/>
    </row>
    <row r="62" spans="1:30" s="158" customFormat="1" ht="15.75" customHeight="1">
      <c r="A62" s="745" t="s">
        <v>183</v>
      </c>
      <c r="B62" s="746"/>
      <c r="C62" s="183">
        <f>SUM(C9+C11+C36+C45)</f>
        <v>1058689177</v>
      </c>
      <c r="D62" s="183">
        <f>SUM(D9+D11+D36+D45)</f>
        <v>1107759095</v>
      </c>
      <c r="E62" s="183">
        <f>SUM(E9+E11+E36+E45)</f>
        <v>0</v>
      </c>
      <c r="F62" s="183">
        <f>SUM(F9+F11+F36+F45)</f>
        <v>0</v>
      </c>
      <c r="G62" s="183">
        <f>SUM(G9+G11+G36+G45)</f>
        <v>1107759095</v>
      </c>
      <c r="H62" s="184">
        <f>G62/D62*100</f>
        <v>100</v>
      </c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</row>
    <row r="63" spans="1:30" s="158" customFormat="1" ht="20.100000000000001" customHeight="1">
      <c r="A63" s="121" t="s">
        <v>148</v>
      </c>
      <c r="B63" s="86" t="s">
        <v>119</v>
      </c>
      <c r="C63" s="70"/>
      <c r="D63" s="70"/>
      <c r="E63" s="70"/>
      <c r="F63" s="70"/>
      <c r="G63" s="70">
        <v>373557</v>
      </c>
      <c r="H63" s="11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</row>
    <row r="64" spans="1:30" s="158" customFormat="1" ht="15.75" customHeight="1">
      <c r="A64" s="745" t="s">
        <v>74</v>
      </c>
      <c r="B64" s="746"/>
      <c r="C64" s="183">
        <f>SUM(C62:C63)</f>
        <v>1058689177</v>
      </c>
      <c r="D64" s="183">
        <f>SUM(D62:D63)</f>
        <v>1107759095</v>
      </c>
      <c r="E64" s="183">
        <f>SUM(E62:E63)</f>
        <v>0</v>
      </c>
      <c r="F64" s="183">
        <f>SUM(F62:F63)</f>
        <v>0</v>
      </c>
      <c r="G64" s="183">
        <f>SUM(G62:G63)</f>
        <v>1108132652</v>
      </c>
      <c r="H64" s="184">
        <f>G64/D64*100</f>
        <v>100.03372186260407</v>
      </c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</row>
    <row r="65" spans="1:30" s="158" customFormat="1" ht="15.75" customHeight="1">
      <c r="A65" s="329"/>
      <c r="B65" s="329"/>
      <c r="C65" s="330"/>
      <c r="D65" s="330"/>
      <c r="E65" s="330"/>
      <c r="F65" s="330"/>
      <c r="G65" s="330"/>
      <c r="H65" s="331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</row>
    <row r="66" spans="1:30" ht="13.5" customHeight="1">
      <c r="A66" s="731" t="s">
        <v>139</v>
      </c>
      <c r="B66" s="732" t="s">
        <v>134</v>
      </c>
      <c r="C66" s="633" t="s">
        <v>171</v>
      </c>
      <c r="D66" s="633" t="s">
        <v>135</v>
      </c>
      <c r="E66" s="743" t="s">
        <v>541</v>
      </c>
      <c r="F66" s="744"/>
      <c r="G66" s="732" t="s">
        <v>138</v>
      </c>
      <c r="H66" s="732"/>
      <c r="I66" s="46"/>
      <c r="J66" s="46"/>
      <c r="AC66"/>
      <c r="AD66"/>
    </row>
    <row r="67" spans="1:30" ht="39" customHeight="1">
      <c r="A67" s="731"/>
      <c r="B67" s="732"/>
      <c r="C67" s="732" t="s">
        <v>136</v>
      </c>
      <c r="D67" s="732"/>
      <c r="E67" s="632" t="s">
        <v>536</v>
      </c>
      <c r="F67" s="632" t="s">
        <v>537</v>
      </c>
      <c r="G67" s="633" t="s">
        <v>137</v>
      </c>
      <c r="H67" s="632" t="s">
        <v>180</v>
      </c>
      <c r="I67" s="46"/>
      <c r="J67" s="46"/>
      <c r="AC67"/>
      <c r="AD67"/>
    </row>
    <row r="68" spans="1:30" ht="15.75" customHeight="1">
      <c r="A68" s="747" t="s">
        <v>153</v>
      </c>
      <c r="B68" s="748"/>
      <c r="C68" s="748"/>
      <c r="D68" s="748"/>
      <c r="E68" s="748"/>
      <c r="F68" s="748"/>
      <c r="G68" s="748"/>
      <c r="H68" s="749"/>
      <c r="I68" s="46"/>
      <c r="J68" s="46"/>
      <c r="AC68"/>
      <c r="AD68"/>
    </row>
    <row r="69" spans="1:30" s="20" customFormat="1" ht="28.5" customHeight="1">
      <c r="A69" s="121" t="s">
        <v>141</v>
      </c>
      <c r="B69" s="86" t="s">
        <v>154</v>
      </c>
      <c r="C69" s="70">
        <f>C70+C71+C72+C73+C86</f>
        <v>1054922414</v>
      </c>
      <c r="D69" s="70">
        <f t="shared" ref="D69:G69" si="4">D70+D71+D72+D73+D86</f>
        <v>1103509521</v>
      </c>
      <c r="E69" s="70">
        <f t="shared" si="4"/>
        <v>0</v>
      </c>
      <c r="F69" s="70">
        <f t="shared" si="4"/>
        <v>0</v>
      </c>
      <c r="G69" s="70">
        <f t="shared" si="4"/>
        <v>1029966685</v>
      </c>
      <c r="H69" s="317">
        <f t="shared" ref="H69:H104" si="5">G69/D69*100</f>
        <v>93.335550387154299</v>
      </c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</row>
    <row r="70" spans="1:30" ht="20.100000000000001" customHeight="1">
      <c r="A70" s="113" t="s">
        <v>158</v>
      </c>
      <c r="B70" s="636" t="s">
        <v>155</v>
      </c>
      <c r="C70" s="18">
        <v>434264539</v>
      </c>
      <c r="D70" s="18">
        <v>424897218</v>
      </c>
      <c r="E70" s="18"/>
      <c r="F70" s="18"/>
      <c r="G70" s="18">
        <v>403210160</v>
      </c>
      <c r="H70" s="310">
        <f t="shared" si="5"/>
        <v>94.895928454866947</v>
      </c>
      <c r="I70" s="46"/>
      <c r="J70" s="46"/>
      <c r="AC70"/>
      <c r="AD70"/>
    </row>
    <row r="71" spans="1:30" ht="20.100000000000001" customHeight="1">
      <c r="A71" s="113" t="s">
        <v>159</v>
      </c>
      <c r="B71" s="636" t="s">
        <v>156</v>
      </c>
      <c r="C71" s="18">
        <v>67154725</v>
      </c>
      <c r="D71" s="18">
        <v>69832348</v>
      </c>
      <c r="E71" s="18"/>
      <c r="F71" s="18"/>
      <c r="G71" s="18">
        <v>66490109</v>
      </c>
      <c r="H71" s="310">
        <f t="shared" si="5"/>
        <v>95.213910034931089</v>
      </c>
      <c r="I71" s="46"/>
      <c r="J71" s="46"/>
      <c r="AC71"/>
      <c r="AD71"/>
    </row>
    <row r="72" spans="1:30" ht="20.100000000000001" customHeight="1">
      <c r="A72" s="113" t="s">
        <v>160</v>
      </c>
      <c r="B72" s="636" t="s">
        <v>157</v>
      </c>
      <c r="C72" s="18">
        <v>131636196</v>
      </c>
      <c r="D72" s="18">
        <v>153116865</v>
      </c>
      <c r="E72" s="18"/>
      <c r="F72" s="18">
        <v>0</v>
      </c>
      <c r="G72" s="18">
        <v>104603326</v>
      </c>
      <c r="H72" s="310">
        <f t="shared" si="5"/>
        <v>68.316005555625765</v>
      </c>
      <c r="I72" s="46"/>
      <c r="J72" s="46"/>
      <c r="AC72"/>
      <c r="AD72"/>
    </row>
    <row r="73" spans="1:30" s="20" customFormat="1" ht="20.100000000000001" customHeight="1">
      <c r="A73" s="121" t="s">
        <v>161</v>
      </c>
      <c r="B73" s="86" t="s">
        <v>436</v>
      </c>
      <c r="C73" s="70">
        <f>SUM(C74:C85)</f>
        <v>421866954</v>
      </c>
      <c r="D73" s="70">
        <f>SUM(D74:D85)</f>
        <v>454613090</v>
      </c>
      <c r="E73" s="70">
        <f>SUM(E74:E85)</f>
        <v>0</v>
      </c>
      <c r="F73" s="70">
        <f>SUM(F74:F85)</f>
        <v>0</v>
      </c>
      <c r="G73" s="70">
        <f>SUM(G74:G85)</f>
        <v>454613090</v>
      </c>
      <c r="H73" s="317">
        <f t="shared" si="5"/>
        <v>100</v>
      </c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</row>
    <row r="74" spans="1:30" ht="14.25" customHeight="1">
      <c r="A74" s="176" t="s">
        <v>498</v>
      </c>
      <c r="B74" s="176" t="s">
        <v>870</v>
      </c>
      <c r="C74" s="333">
        <v>3810000</v>
      </c>
      <c r="D74" s="333">
        <v>3810000</v>
      </c>
      <c r="E74" s="333"/>
      <c r="F74" s="333"/>
      <c r="G74" s="18">
        <v>3810000</v>
      </c>
      <c r="H74" s="116">
        <f t="shared" si="5"/>
        <v>100</v>
      </c>
      <c r="I74" s="46"/>
      <c r="J74" s="46"/>
      <c r="AC74"/>
      <c r="AD74"/>
    </row>
    <row r="75" spans="1:30" ht="14.25" customHeight="1">
      <c r="A75" s="176" t="s">
        <v>499</v>
      </c>
      <c r="B75" s="176" t="s">
        <v>845</v>
      </c>
      <c r="C75" s="333">
        <v>8269000</v>
      </c>
      <c r="D75" s="333">
        <v>8269000</v>
      </c>
      <c r="E75" s="333"/>
      <c r="F75" s="333"/>
      <c r="G75" s="18">
        <v>8269000</v>
      </c>
      <c r="H75" s="116">
        <f t="shared" si="5"/>
        <v>100</v>
      </c>
      <c r="I75" s="46"/>
      <c r="J75" s="46"/>
      <c r="AC75"/>
      <c r="AD75"/>
    </row>
    <row r="76" spans="1:30" ht="14.25" customHeight="1">
      <c r="A76" s="176" t="s">
        <v>500</v>
      </c>
      <c r="B76" s="176" t="s">
        <v>503</v>
      </c>
      <c r="C76" s="333">
        <v>6500000</v>
      </c>
      <c r="D76" s="333">
        <v>6500000</v>
      </c>
      <c r="E76" s="333"/>
      <c r="F76" s="333"/>
      <c r="G76" s="18">
        <v>6500000</v>
      </c>
      <c r="H76" s="116">
        <f t="shared" si="5"/>
        <v>100</v>
      </c>
      <c r="I76" s="46"/>
      <c r="J76" s="46"/>
      <c r="AC76"/>
      <c r="AD76"/>
    </row>
    <row r="77" spans="1:30" ht="15" customHeight="1">
      <c r="A77" s="176" t="s">
        <v>501</v>
      </c>
      <c r="B77" s="176" t="s">
        <v>846</v>
      </c>
      <c r="C77" s="333">
        <v>33692196</v>
      </c>
      <c r="D77" s="333">
        <v>33692196</v>
      </c>
      <c r="E77" s="333"/>
      <c r="F77" s="333"/>
      <c r="G77" s="18">
        <v>33692196</v>
      </c>
      <c r="H77" s="116">
        <f t="shared" si="5"/>
        <v>100</v>
      </c>
      <c r="I77" s="46"/>
      <c r="J77" s="46"/>
      <c r="AC77"/>
      <c r="AD77"/>
    </row>
    <row r="78" spans="1:30" ht="15" customHeight="1">
      <c r="A78" s="176" t="s">
        <v>502</v>
      </c>
      <c r="B78" s="176" t="s">
        <v>969</v>
      </c>
      <c r="C78" s="333">
        <v>50000</v>
      </c>
      <c r="D78" s="333">
        <v>50000</v>
      </c>
      <c r="E78" s="333"/>
      <c r="F78" s="333"/>
      <c r="G78" s="18">
        <v>50000</v>
      </c>
      <c r="H78" s="116">
        <f>G78/D78*100</f>
        <v>100</v>
      </c>
      <c r="I78" s="46"/>
      <c r="J78" s="46"/>
      <c r="AC78"/>
      <c r="AD78"/>
    </row>
    <row r="79" spans="1:30" ht="15" customHeight="1">
      <c r="A79" s="176" t="s">
        <v>1127</v>
      </c>
      <c r="B79" s="176" t="s">
        <v>1128</v>
      </c>
      <c r="C79" s="333">
        <v>343933</v>
      </c>
      <c r="D79" s="333">
        <v>343933</v>
      </c>
      <c r="E79" s="333"/>
      <c r="F79" s="333"/>
      <c r="G79" s="18">
        <v>343933</v>
      </c>
      <c r="H79" s="116">
        <f>G79/D79*100</f>
        <v>100</v>
      </c>
      <c r="I79" s="46"/>
      <c r="J79" s="46"/>
      <c r="AC79"/>
      <c r="AD79"/>
    </row>
    <row r="80" spans="1:30" ht="15" customHeight="1">
      <c r="A80" s="176" t="s">
        <v>1145</v>
      </c>
      <c r="B80" s="176" t="s">
        <v>1130</v>
      </c>
      <c r="C80" s="333">
        <v>590436</v>
      </c>
      <c r="D80" s="333">
        <v>0</v>
      </c>
      <c r="E80" s="333"/>
      <c r="F80" s="333"/>
      <c r="G80" s="18">
        <v>0</v>
      </c>
      <c r="H80" s="116">
        <v>0</v>
      </c>
      <c r="I80" s="46"/>
      <c r="J80" s="46"/>
      <c r="AC80"/>
      <c r="AD80"/>
    </row>
    <row r="81" spans="1:30" ht="15" customHeight="1">
      <c r="A81" s="176" t="s">
        <v>1131</v>
      </c>
      <c r="B81" s="176" t="s">
        <v>1146</v>
      </c>
      <c r="C81" s="333">
        <v>0</v>
      </c>
      <c r="D81" s="333">
        <v>4920000</v>
      </c>
      <c r="E81" s="333"/>
      <c r="F81" s="333"/>
      <c r="G81" s="18">
        <v>4920000</v>
      </c>
      <c r="H81" s="116">
        <f t="shared" ref="H81:H86" si="6">G81/D81*100</f>
        <v>100</v>
      </c>
      <c r="I81" s="46"/>
      <c r="J81" s="46"/>
      <c r="AC81"/>
      <c r="AD81"/>
    </row>
    <row r="82" spans="1:30" ht="15" customHeight="1">
      <c r="A82" s="176" t="s">
        <v>1133</v>
      </c>
      <c r="B82" s="176" t="s">
        <v>1134</v>
      </c>
      <c r="C82" s="333">
        <v>0</v>
      </c>
      <c r="D82" s="333">
        <v>503</v>
      </c>
      <c r="E82" s="333"/>
      <c r="F82" s="333"/>
      <c r="G82" s="18">
        <v>503</v>
      </c>
      <c r="H82" s="116">
        <f t="shared" si="6"/>
        <v>100</v>
      </c>
      <c r="I82" s="46"/>
      <c r="J82" s="46"/>
      <c r="AC82"/>
      <c r="AD82"/>
    </row>
    <row r="83" spans="1:30" ht="27.75" customHeight="1">
      <c r="A83" s="176" t="s">
        <v>1135</v>
      </c>
      <c r="B83" s="647" t="s">
        <v>1183</v>
      </c>
      <c r="C83" s="333">
        <v>0</v>
      </c>
      <c r="D83" s="333">
        <v>405251</v>
      </c>
      <c r="E83" s="333"/>
      <c r="F83" s="333"/>
      <c r="G83" s="18">
        <v>405251</v>
      </c>
      <c r="H83" s="116">
        <f t="shared" si="6"/>
        <v>100</v>
      </c>
      <c r="I83" s="46"/>
      <c r="J83" s="46"/>
      <c r="AC83"/>
      <c r="AD83"/>
    </row>
    <row r="84" spans="1:30" ht="15" customHeight="1">
      <c r="A84" s="176" t="s">
        <v>1136</v>
      </c>
      <c r="B84" s="176" t="s">
        <v>1119</v>
      </c>
      <c r="C84" s="333">
        <v>0</v>
      </c>
      <c r="D84" s="333">
        <v>8423049</v>
      </c>
      <c r="E84" s="333"/>
      <c r="F84" s="333"/>
      <c r="G84" s="18">
        <v>8423049</v>
      </c>
      <c r="H84" s="116">
        <f t="shared" si="6"/>
        <v>100</v>
      </c>
      <c r="I84" s="46"/>
      <c r="J84" s="46"/>
      <c r="AC84"/>
      <c r="AD84"/>
    </row>
    <row r="85" spans="1:30" ht="15" customHeight="1">
      <c r="A85" s="176" t="s">
        <v>1138</v>
      </c>
      <c r="B85" s="115" t="s">
        <v>452</v>
      </c>
      <c r="C85" s="333">
        <v>368611389</v>
      </c>
      <c r="D85" s="333">
        <v>388199158</v>
      </c>
      <c r="E85" s="333"/>
      <c r="F85" s="333"/>
      <c r="G85" s="18">
        <v>388199158</v>
      </c>
      <c r="H85" s="116">
        <f t="shared" si="6"/>
        <v>100</v>
      </c>
      <c r="I85" s="46"/>
      <c r="J85" s="46"/>
      <c r="AC85"/>
      <c r="AD85"/>
    </row>
    <row r="86" spans="1:30" ht="41.25" customHeight="1">
      <c r="A86" s="121" t="s">
        <v>1147</v>
      </c>
      <c r="B86" s="406" t="s">
        <v>1197</v>
      </c>
      <c r="C86" s="70">
        <v>0</v>
      </c>
      <c r="D86" s="70">
        <v>1050000</v>
      </c>
      <c r="E86" s="70"/>
      <c r="F86" s="70"/>
      <c r="G86" s="70">
        <v>1050000</v>
      </c>
      <c r="H86" s="116">
        <f t="shared" si="6"/>
        <v>100</v>
      </c>
      <c r="I86" s="46"/>
      <c r="J86" s="46"/>
      <c r="AC86"/>
      <c r="AD86"/>
    </row>
    <row r="87" spans="1:30" s="20" customFormat="1" ht="28.5" customHeight="1">
      <c r="A87" s="121" t="s">
        <v>142</v>
      </c>
      <c r="B87" s="86" t="s">
        <v>162</v>
      </c>
      <c r="C87" s="70">
        <f>SUM(C88+C96+C99)</f>
        <v>3766763</v>
      </c>
      <c r="D87" s="70">
        <f>SUM(D88+D96+D99)</f>
        <v>4249574</v>
      </c>
      <c r="E87" s="70">
        <f>SUM(E88+E96+E99)</f>
        <v>0</v>
      </c>
      <c r="F87" s="70">
        <f>SUM(F88+F96+F99)</f>
        <v>0</v>
      </c>
      <c r="G87" s="70">
        <f>SUM(G88+G96+G99)</f>
        <v>3172273</v>
      </c>
      <c r="H87" s="317">
        <f t="shared" si="5"/>
        <v>74.649200131589666</v>
      </c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</row>
    <row r="88" spans="1:30" s="494" customFormat="1" ht="20.100000000000001" customHeight="1">
      <c r="A88" s="409" t="s">
        <v>163</v>
      </c>
      <c r="B88" s="473" t="s">
        <v>164</v>
      </c>
      <c r="C88" s="490">
        <f>C89+C90+C91+C94</f>
        <v>842530</v>
      </c>
      <c r="D88" s="490">
        <f>D89+D90+D91+D94</f>
        <v>1083231</v>
      </c>
      <c r="E88" s="490"/>
      <c r="F88" s="490">
        <f>SUM(F89:F92)</f>
        <v>0</v>
      </c>
      <c r="G88" s="490">
        <f>G89+G90+G91+G94</f>
        <v>1052307</v>
      </c>
      <c r="H88" s="493">
        <f t="shared" si="5"/>
        <v>97.145207254962244</v>
      </c>
      <c r="I88" s="495"/>
      <c r="J88" s="495"/>
      <c r="K88" s="495"/>
      <c r="L88" s="495"/>
      <c r="M88" s="495"/>
      <c r="N88" s="495"/>
      <c r="O88" s="495"/>
      <c r="P88" s="495"/>
      <c r="Q88" s="495"/>
      <c r="R88" s="495"/>
      <c r="S88" s="495"/>
      <c r="T88" s="495"/>
      <c r="U88" s="495"/>
      <c r="V88" s="495"/>
      <c r="W88" s="495"/>
      <c r="X88" s="495"/>
      <c r="Y88" s="495"/>
      <c r="Z88" s="495"/>
      <c r="AA88" s="495"/>
      <c r="AB88" s="495"/>
    </row>
    <row r="89" spans="1:30" ht="20.100000000000001" customHeight="1">
      <c r="A89" s="485" t="s">
        <v>491</v>
      </c>
      <c r="B89" s="636" t="s">
        <v>256</v>
      </c>
      <c r="C89" s="18">
        <v>450000</v>
      </c>
      <c r="D89" s="18">
        <v>450000</v>
      </c>
      <c r="E89" s="18"/>
      <c r="F89" s="18"/>
      <c r="G89" s="18">
        <v>449997</v>
      </c>
      <c r="H89" s="310">
        <f t="shared" si="5"/>
        <v>99.999333333333325</v>
      </c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ht="20.100000000000001" customHeight="1">
      <c r="A90" s="485" t="s">
        <v>851</v>
      </c>
      <c r="B90" s="636" t="s">
        <v>901</v>
      </c>
      <c r="C90" s="18">
        <v>110246</v>
      </c>
      <c r="D90" s="18">
        <v>110246</v>
      </c>
      <c r="E90" s="18"/>
      <c r="F90" s="18"/>
      <c r="G90" s="18">
        <v>110200</v>
      </c>
      <c r="H90" s="310">
        <f t="shared" si="5"/>
        <v>99.958275130163457</v>
      </c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20" customFormat="1" ht="20.100000000000001" customHeight="1">
      <c r="A91" s="543" t="s">
        <v>852</v>
      </c>
      <c r="B91" s="86" t="s">
        <v>955</v>
      </c>
      <c r="C91" s="70">
        <f>SUM(C92:C93)</f>
        <v>254750</v>
      </c>
      <c r="D91" s="70">
        <f>SUM(D92:D93)</f>
        <v>495451</v>
      </c>
      <c r="E91" s="70"/>
      <c r="F91" s="70"/>
      <c r="G91" s="70">
        <f>SUM(G92:G93)</f>
        <v>492110</v>
      </c>
      <c r="H91" s="317">
        <f t="shared" si="5"/>
        <v>99.325664899253411</v>
      </c>
    </row>
    <row r="92" spans="1:30" s="492" customFormat="1" ht="18.75" customHeight="1">
      <c r="A92" s="437" t="s">
        <v>902</v>
      </c>
      <c r="B92" s="475" t="s">
        <v>948</v>
      </c>
      <c r="C92" s="107">
        <v>250000</v>
      </c>
      <c r="D92" s="107">
        <v>492110</v>
      </c>
      <c r="E92" s="107"/>
      <c r="F92" s="107"/>
      <c r="G92" s="107">
        <v>492110</v>
      </c>
      <c r="H92" s="491">
        <f t="shared" si="5"/>
        <v>100</v>
      </c>
    </row>
    <row r="93" spans="1:30" s="492" customFormat="1" ht="43.5" customHeight="1">
      <c r="A93" s="437" t="s">
        <v>947</v>
      </c>
      <c r="B93" s="406" t="s">
        <v>1188</v>
      </c>
      <c r="C93" s="107">
        <v>4750</v>
      </c>
      <c r="D93" s="107">
        <v>3341</v>
      </c>
      <c r="E93" s="107"/>
      <c r="F93" s="107"/>
      <c r="G93" s="107">
        <v>0</v>
      </c>
      <c r="H93" s="491">
        <f t="shared" si="5"/>
        <v>0</v>
      </c>
    </row>
    <row r="94" spans="1:30" s="20" customFormat="1" ht="30" customHeight="1">
      <c r="A94" s="543" t="s">
        <v>903</v>
      </c>
      <c r="B94" s="458" t="s">
        <v>949</v>
      </c>
      <c r="C94" s="70">
        <f>SUM(C95:C95)</f>
        <v>27534</v>
      </c>
      <c r="D94" s="70">
        <f>SUM(D95:D95)</f>
        <v>27534</v>
      </c>
      <c r="E94" s="70"/>
      <c r="F94" s="70"/>
      <c r="G94" s="70">
        <f>SUM(G95:G95)</f>
        <v>0</v>
      </c>
      <c r="H94" s="491">
        <f t="shared" si="5"/>
        <v>0</v>
      </c>
    </row>
    <row r="95" spans="1:30" s="492" customFormat="1" ht="27.75" customHeight="1">
      <c r="A95" s="437" t="s">
        <v>950</v>
      </c>
      <c r="B95" s="406" t="s">
        <v>1189</v>
      </c>
      <c r="C95" s="107">
        <v>27534</v>
      </c>
      <c r="D95" s="107">
        <v>27534</v>
      </c>
      <c r="E95" s="107"/>
      <c r="F95" s="107"/>
      <c r="G95" s="107">
        <v>0</v>
      </c>
      <c r="H95" s="491">
        <f t="shared" si="5"/>
        <v>0</v>
      </c>
    </row>
    <row r="96" spans="1:30" s="494" customFormat="1" ht="20.100000000000001" customHeight="1">
      <c r="A96" s="409" t="s">
        <v>165</v>
      </c>
      <c r="B96" s="473" t="s">
        <v>166</v>
      </c>
      <c r="C96" s="490">
        <f>SUM(C98:C98)</f>
        <v>2024233</v>
      </c>
      <c r="D96" s="490">
        <f>SUM(D98:D98)</f>
        <v>2024233</v>
      </c>
      <c r="E96" s="490">
        <f>SUM(E98:E98)</f>
        <v>0</v>
      </c>
      <c r="F96" s="490">
        <f>SUM(F98:F98)</f>
        <v>0</v>
      </c>
      <c r="G96" s="490">
        <f>SUM(G98:G98)</f>
        <v>1877856</v>
      </c>
      <c r="H96" s="493">
        <f t="shared" si="5"/>
        <v>92.768767231835469</v>
      </c>
      <c r="I96" s="495"/>
      <c r="J96" s="495"/>
      <c r="K96" s="495"/>
      <c r="L96" s="495"/>
      <c r="M96" s="495"/>
      <c r="N96" s="495"/>
      <c r="O96" s="495"/>
      <c r="P96" s="495"/>
      <c r="Q96" s="495"/>
      <c r="R96" s="495"/>
      <c r="S96" s="495"/>
      <c r="T96" s="495"/>
      <c r="U96" s="495"/>
      <c r="V96" s="495"/>
      <c r="W96" s="495"/>
      <c r="X96" s="495"/>
      <c r="Y96" s="495"/>
      <c r="Z96" s="495"/>
      <c r="AA96" s="495"/>
      <c r="AB96" s="495"/>
    </row>
    <row r="97" spans="1:30" s="20" customFormat="1" ht="20.100000000000001" customHeight="1">
      <c r="A97" s="121" t="s">
        <v>855</v>
      </c>
      <c r="B97" s="458" t="s">
        <v>949</v>
      </c>
      <c r="C97" s="70">
        <f>SUM(C98:C98)</f>
        <v>2024233</v>
      </c>
      <c r="D97" s="70">
        <f>SUM(D98:D98)</f>
        <v>2024233</v>
      </c>
      <c r="E97" s="70"/>
      <c r="F97" s="70"/>
      <c r="G97" s="70">
        <f>SUM(G98:G98)</f>
        <v>1877856</v>
      </c>
      <c r="H97" s="317">
        <f t="shared" si="5"/>
        <v>92.768767231835469</v>
      </c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</row>
    <row r="98" spans="1:30" ht="25.5" customHeight="1">
      <c r="A98" s="437" t="s">
        <v>952</v>
      </c>
      <c r="B98" s="314" t="s">
        <v>1189</v>
      </c>
      <c r="C98" s="18">
        <v>2024233</v>
      </c>
      <c r="D98" s="18">
        <v>2024233</v>
      </c>
      <c r="E98" s="18"/>
      <c r="F98" s="18"/>
      <c r="G98" s="18">
        <v>1877856</v>
      </c>
      <c r="H98" s="310">
        <f t="shared" si="5"/>
        <v>92.768767231835469</v>
      </c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494" customFormat="1" ht="20.100000000000001" customHeight="1">
      <c r="A99" s="409" t="s">
        <v>167</v>
      </c>
      <c r="B99" s="473" t="s">
        <v>958</v>
      </c>
      <c r="C99" s="490">
        <f>SUM(C100:C101)</f>
        <v>900000</v>
      </c>
      <c r="D99" s="490">
        <f>SUM(D100:D101)</f>
        <v>1142110</v>
      </c>
      <c r="E99" s="490"/>
      <c r="F99" s="490"/>
      <c r="G99" s="490">
        <f>SUM(G100:G101)</f>
        <v>242110</v>
      </c>
      <c r="H99" s="493">
        <f t="shared" si="5"/>
        <v>21.198483508593743</v>
      </c>
      <c r="I99" s="495"/>
      <c r="J99" s="495"/>
      <c r="K99" s="495"/>
      <c r="L99" s="495"/>
      <c r="M99" s="495"/>
      <c r="N99" s="495"/>
      <c r="O99" s="495"/>
      <c r="P99" s="495"/>
      <c r="Q99" s="495"/>
      <c r="R99" s="495"/>
      <c r="S99" s="495"/>
      <c r="T99" s="495"/>
      <c r="U99" s="495"/>
      <c r="V99" s="495"/>
      <c r="W99" s="495"/>
      <c r="X99" s="495"/>
      <c r="Y99" s="495"/>
      <c r="Z99" s="495"/>
      <c r="AA99" s="495"/>
      <c r="AB99" s="495"/>
    </row>
    <row r="100" spans="1:30" ht="20.100000000000001" customHeight="1">
      <c r="A100" s="113" t="s">
        <v>956</v>
      </c>
      <c r="B100" s="636" t="s">
        <v>954</v>
      </c>
      <c r="C100" s="18">
        <v>900000</v>
      </c>
      <c r="D100" s="18">
        <v>900000</v>
      </c>
      <c r="E100" s="18"/>
      <c r="F100" s="18"/>
      <c r="G100" s="18">
        <v>0</v>
      </c>
      <c r="H100" s="310">
        <f t="shared" si="5"/>
        <v>0</v>
      </c>
      <c r="I100" s="46"/>
      <c r="J100" s="46"/>
      <c r="AC100"/>
      <c r="AD100"/>
    </row>
    <row r="101" spans="1:30" ht="20.100000000000001" customHeight="1">
      <c r="A101" s="113" t="s">
        <v>957</v>
      </c>
      <c r="B101" s="636" t="s">
        <v>953</v>
      </c>
      <c r="C101" s="18">
        <v>0</v>
      </c>
      <c r="D101" s="18">
        <v>242110</v>
      </c>
      <c r="E101" s="18"/>
      <c r="F101" s="18"/>
      <c r="G101" s="18">
        <v>242110</v>
      </c>
      <c r="H101" s="310">
        <f t="shared" si="5"/>
        <v>100</v>
      </c>
      <c r="I101" s="46"/>
      <c r="J101" s="46"/>
      <c r="AC101"/>
      <c r="AD101"/>
    </row>
    <row r="102" spans="1:30" s="174" customFormat="1" ht="20.25" customHeight="1">
      <c r="A102" s="740" t="s">
        <v>179</v>
      </c>
      <c r="B102" s="741"/>
      <c r="C102" s="172">
        <f>C69+C87</f>
        <v>1058689177</v>
      </c>
      <c r="D102" s="172">
        <f>D69+D87</f>
        <v>1107759095</v>
      </c>
      <c r="E102" s="172">
        <f>E69+E87</f>
        <v>0</v>
      </c>
      <c r="F102" s="172">
        <f>F69+F87</f>
        <v>0</v>
      </c>
      <c r="G102" s="172">
        <f>G69+G87</f>
        <v>1033138958</v>
      </c>
      <c r="H102" s="175">
        <f t="shared" si="5"/>
        <v>93.263866003284761</v>
      </c>
      <c r="I102" s="173"/>
      <c r="J102" s="173"/>
      <c r="K102" s="173"/>
      <c r="L102" s="173"/>
      <c r="M102" s="173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  <c r="AA102" s="173"/>
      <c r="AB102" s="173"/>
    </row>
    <row r="103" spans="1:30" s="158" customFormat="1" ht="20.100000000000001" customHeight="1">
      <c r="A103" s="121" t="s">
        <v>143</v>
      </c>
      <c r="B103" s="86" t="s">
        <v>120</v>
      </c>
      <c r="C103" s="70"/>
      <c r="D103" s="70"/>
      <c r="E103" s="70"/>
      <c r="F103" s="70"/>
      <c r="G103" s="70">
        <v>405044</v>
      </c>
      <c r="H103" s="317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59"/>
      <c r="Z103" s="159"/>
      <c r="AA103" s="159"/>
      <c r="AB103" s="159"/>
    </row>
    <row r="104" spans="1:30" s="174" customFormat="1" ht="20.25" customHeight="1">
      <c r="A104" s="740" t="s">
        <v>75</v>
      </c>
      <c r="B104" s="741"/>
      <c r="C104" s="172">
        <f>SUM(C102:C103)</f>
        <v>1058689177</v>
      </c>
      <c r="D104" s="172">
        <f>SUM(D102:D103)</f>
        <v>1107759095</v>
      </c>
      <c r="E104" s="172">
        <f t="shared" ref="E104:G104" si="7">SUM(E102:E103)</f>
        <v>0</v>
      </c>
      <c r="F104" s="172">
        <f t="shared" si="7"/>
        <v>0</v>
      </c>
      <c r="G104" s="172">
        <f t="shared" si="7"/>
        <v>1033544002</v>
      </c>
      <c r="H104" s="175">
        <f t="shared" si="5"/>
        <v>93.300430270897479</v>
      </c>
      <c r="I104" s="173"/>
      <c r="J104" s="173"/>
      <c r="K104" s="173"/>
      <c r="L104" s="173"/>
      <c r="M104" s="173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73"/>
      <c r="Y104" s="173"/>
      <c r="Z104" s="173"/>
      <c r="AA104" s="173"/>
      <c r="AB104" s="173"/>
    </row>
  </sheetData>
  <mergeCells count="20">
    <mergeCell ref="G66:H66"/>
    <mergeCell ref="C67:D67"/>
    <mergeCell ref="A68:H68"/>
    <mergeCell ref="A102:B102"/>
    <mergeCell ref="A104:B104"/>
    <mergeCell ref="A1:J1"/>
    <mergeCell ref="A2:J2"/>
    <mergeCell ref="A3:J3"/>
    <mergeCell ref="A5:H5"/>
    <mergeCell ref="A6:A7"/>
    <mergeCell ref="B6:B7"/>
    <mergeCell ref="E6:F6"/>
    <mergeCell ref="G6:H6"/>
    <mergeCell ref="C7:D7"/>
    <mergeCell ref="A8:H8"/>
    <mergeCell ref="A62:B62"/>
    <mergeCell ref="A64:B64"/>
    <mergeCell ref="A66:A67"/>
    <mergeCell ref="B66:B67"/>
    <mergeCell ref="E66:F66"/>
  </mergeCells>
  <printOptions horizontalCentered="1"/>
  <pageMargins left="0.56000000000000005" right="0.47244094488188981" top="0.63" bottom="0.41" header="0.35" footer="0.24"/>
  <pageSetup paperSize="9" scale="39" orientation="portrait" r:id="rId1"/>
  <headerFooter alignWithMargins="0">
    <oddHeader>&amp;R1/a számú melléklet</oddHeader>
  </headerFooter>
  <colBreaks count="1" manualBreakCount="1">
    <brk id="8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0">
    <tabColor theme="4" tint="0.59999389629810485"/>
  </sheetPr>
  <dimension ref="A1:W26"/>
  <sheetViews>
    <sheetView workbookViewId="0">
      <selection activeCell="D13" sqref="D13"/>
    </sheetView>
  </sheetViews>
  <sheetFormatPr defaultColWidth="9.140625" defaultRowHeight="12.75"/>
  <cols>
    <col min="1" max="1" width="35.28515625" style="96" customWidth="1"/>
    <col min="2" max="2" width="11.28515625" style="456" customWidth="1"/>
    <col min="3" max="3" width="11.5703125" style="456" customWidth="1"/>
    <col min="4" max="4" width="14" style="456" customWidth="1"/>
    <col min="5" max="23" width="9.140625" style="133"/>
    <col min="24" max="16384" width="9.140625" style="96"/>
  </cols>
  <sheetData>
    <row r="1" spans="1:23">
      <c r="A1" s="873" t="s">
        <v>1041</v>
      </c>
      <c r="B1" s="873"/>
      <c r="C1" s="873"/>
      <c r="D1" s="873"/>
    </row>
    <row r="2" spans="1:23" ht="12.75" customHeight="1">
      <c r="A2" s="878" t="s">
        <v>1085</v>
      </c>
      <c r="B2" s="878"/>
      <c r="C2" s="878"/>
      <c r="D2" s="878"/>
    </row>
    <row r="3" spans="1:23" ht="18" customHeight="1">
      <c r="A3" s="878"/>
      <c r="B3" s="878"/>
      <c r="C3" s="878"/>
      <c r="D3" s="878"/>
    </row>
    <row r="4" spans="1:23" s="133" customFormat="1">
      <c r="A4" s="258"/>
      <c r="B4" s="454"/>
      <c r="C4" s="454"/>
      <c r="D4" s="455"/>
    </row>
    <row r="5" spans="1:23" s="133" customFormat="1">
      <c r="A5" s="258"/>
      <c r="B5" s="454"/>
      <c r="C5" s="454"/>
      <c r="D5" s="455"/>
    </row>
    <row r="6" spans="1:23" s="133" customFormat="1">
      <c r="A6" s="258"/>
      <c r="B6" s="454"/>
      <c r="C6" s="454"/>
      <c r="D6" s="455"/>
    </row>
    <row r="7" spans="1:23" s="21" customFormat="1" ht="24.75" customHeight="1">
      <c r="A7" s="880" t="s">
        <v>238</v>
      </c>
      <c r="B7" s="881"/>
      <c r="C7" s="881"/>
      <c r="D7" s="881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116</v>
      </c>
      <c r="B8" s="448" t="s">
        <v>117</v>
      </c>
      <c r="C8" s="448" t="s">
        <v>118</v>
      </c>
      <c r="D8" s="448" t="s">
        <v>138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 ht="15.75" customHeight="1">
      <c r="A9" s="261" t="s">
        <v>55</v>
      </c>
      <c r="B9" s="260">
        <v>0</v>
      </c>
      <c r="C9" s="260">
        <v>0</v>
      </c>
      <c r="D9" s="260">
        <v>0</v>
      </c>
    </row>
    <row r="10" spans="1:23" ht="15.75" customHeight="1">
      <c r="A10" s="261" t="s">
        <v>60</v>
      </c>
      <c r="B10" s="260">
        <v>2885679</v>
      </c>
      <c r="C10" s="260">
        <v>2995194</v>
      </c>
      <c r="D10" s="260">
        <v>2995194</v>
      </c>
    </row>
    <row r="11" spans="1:23" ht="15.75" customHeight="1">
      <c r="A11" s="261" t="s">
        <v>65</v>
      </c>
      <c r="B11" s="260">
        <v>0</v>
      </c>
      <c r="C11" s="260">
        <v>0</v>
      </c>
      <c r="D11" s="260">
        <v>0</v>
      </c>
    </row>
    <row r="12" spans="1:23" ht="15.75" customHeight="1">
      <c r="A12" s="261" t="s">
        <v>63</v>
      </c>
      <c r="B12" s="260">
        <v>51539</v>
      </c>
      <c r="C12" s="260">
        <v>141405</v>
      </c>
      <c r="D12" s="260">
        <v>141405</v>
      </c>
    </row>
    <row r="13" spans="1:23" ht="15.75" customHeight="1">
      <c r="A13" s="261" t="s">
        <v>70</v>
      </c>
      <c r="B13" s="260">
        <v>1863840</v>
      </c>
      <c r="C13" s="260">
        <v>1863840</v>
      </c>
      <c r="D13" s="260">
        <v>1863840</v>
      </c>
    </row>
    <row r="14" spans="1:23" ht="15.75" customHeight="1">
      <c r="A14" s="199" t="s">
        <v>126</v>
      </c>
      <c r="B14" s="200">
        <f>SUM(B9:B13)</f>
        <v>4801058</v>
      </c>
      <c r="C14" s="200">
        <f>SUM(C9:C13)</f>
        <v>5000439</v>
      </c>
      <c r="D14" s="200">
        <f>SUM(D9:D13)</f>
        <v>5000439</v>
      </c>
    </row>
    <row r="15" spans="1:23" s="133" customFormat="1">
      <c r="B15" s="151"/>
      <c r="C15" s="151"/>
      <c r="D15" s="151"/>
    </row>
    <row r="16" spans="1:23" s="133" customFormat="1">
      <c r="B16" s="151"/>
      <c r="C16" s="151"/>
      <c r="D16" s="151"/>
    </row>
    <row r="17" spans="2:4" s="133" customFormat="1">
      <c r="B17" s="151"/>
      <c r="C17" s="151"/>
      <c r="D17" s="151"/>
    </row>
    <row r="18" spans="2:4" s="133" customFormat="1">
      <c r="B18" s="151"/>
      <c r="C18" s="151"/>
      <c r="D18" s="151"/>
    </row>
    <row r="19" spans="2:4" s="133" customFormat="1">
      <c r="B19" s="151"/>
      <c r="C19" s="151"/>
      <c r="D19" s="151"/>
    </row>
    <row r="20" spans="2:4" s="133" customFormat="1">
      <c r="B20" s="151"/>
      <c r="C20" s="151"/>
      <c r="D20" s="151"/>
    </row>
    <row r="21" spans="2:4" s="133" customFormat="1">
      <c r="B21" s="151"/>
      <c r="C21" s="151"/>
      <c r="D21" s="151"/>
    </row>
    <row r="22" spans="2:4" s="133" customFormat="1">
      <c r="B22" s="151"/>
      <c r="C22" s="151"/>
      <c r="D22" s="151"/>
    </row>
    <row r="23" spans="2:4" s="133" customFormat="1">
      <c r="B23" s="151"/>
      <c r="C23" s="151"/>
      <c r="D23" s="151"/>
    </row>
    <row r="24" spans="2:4" s="133" customFormat="1">
      <c r="B24" s="151"/>
      <c r="C24" s="151"/>
      <c r="D24" s="151"/>
    </row>
    <row r="25" spans="2:4" s="133" customFormat="1">
      <c r="B25" s="151"/>
      <c r="C25" s="151"/>
      <c r="D25" s="151"/>
    </row>
    <row r="26" spans="2:4" s="133" customFormat="1">
      <c r="B26" s="151"/>
      <c r="C26" s="151"/>
      <c r="D26" s="151"/>
    </row>
  </sheetData>
  <mergeCells count="3">
    <mergeCell ref="A1:D1"/>
    <mergeCell ref="A2:D3"/>
    <mergeCell ref="A7:D7"/>
  </mergeCells>
  <pageMargins left="0.75" right="0.75" top="1" bottom="1" header="0.5" footer="0.5"/>
  <pageSetup paperSize="9" orientation="portrait" r:id="rId1"/>
  <headerFooter alignWithMargins="0">
    <oddHeader>&amp;R&amp;"Times New Roman,Normál"&amp;11 10/b. sz. melléklet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1">
    <tabColor theme="4" tint="0.59999389629810485"/>
  </sheetPr>
  <dimension ref="A1:W22"/>
  <sheetViews>
    <sheetView workbookViewId="0">
      <selection activeCell="D10" sqref="D10"/>
    </sheetView>
  </sheetViews>
  <sheetFormatPr defaultColWidth="9.140625" defaultRowHeight="12.75"/>
  <cols>
    <col min="1" max="1" width="35.28515625" style="96" customWidth="1"/>
    <col min="2" max="2" width="12.5703125" style="96" customWidth="1"/>
    <col min="3" max="3" width="13" style="96" customWidth="1"/>
    <col min="4" max="4" width="14" style="96" customWidth="1"/>
    <col min="5" max="23" width="9.140625" style="133"/>
    <col min="24" max="16384" width="9.140625" style="96"/>
  </cols>
  <sheetData>
    <row r="1" spans="1:23">
      <c r="A1" s="873" t="s">
        <v>1041</v>
      </c>
      <c r="B1" s="873"/>
      <c r="C1" s="873"/>
      <c r="D1" s="873"/>
    </row>
    <row r="2" spans="1:23" ht="12.75" customHeight="1">
      <c r="A2" s="878" t="s">
        <v>1086</v>
      </c>
      <c r="B2" s="878"/>
      <c r="C2" s="878"/>
      <c r="D2" s="878"/>
    </row>
    <row r="3" spans="1:23" ht="18" customHeight="1">
      <c r="A3" s="878"/>
      <c r="B3" s="878"/>
      <c r="C3" s="878"/>
      <c r="D3" s="878"/>
    </row>
    <row r="4" spans="1:23" s="133" customFormat="1">
      <c r="A4" s="258"/>
      <c r="B4" s="258"/>
      <c r="C4" s="258"/>
      <c r="D4" s="259"/>
    </row>
    <row r="5" spans="1:23" s="133" customFormat="1">
      <c r="A5" s="258"/>
      <c r="B5" s="258"/>
      <c r="C5" s="258"/>
      <c r="D5" s="259"/>
    </row>
    <row r="6" spans="1:23" s="133" customFormat="1">
      <c r="A6" s="258"/>
      <c r="B6" s="258"/>
      <c r="C6" s="258"/>
      <c r="D6" s="259"/>
    </row>
    <row r="7" spans="1:23" s="21" customFormat="1" ht="24.75" customHeight="1">
      <c r="A7" s="880" t="s">
        <v>238</v>
      </c>
      <c r="B7" s="881"/>
      <c r="C7" s="881"/>
      <c r="D7" s="881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116</v>
      </c>
      <c r="B8" s="55" t="s">
        <v>117</v>
      </c>
      <c r="C8" s="55" t="s">
        <v>118</v>
      </c>
      <c r="D8" s="55" t="s">
        <v>138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>
      <c r="A9" s="98" t="s">
        <v>60</v>
      </c>
      <c r="B9" s="260">
        <v>5443679</v>
      </c>
      <c r="C9" s="260">
        <v>4449935</v>
      </c>
      <c r="D9" s="260">
        <v>4449935</v>
      </c>
    </row>
    <row r="10" spans="1:23" ht="15.75">
      <c r="A10" s="199" t="s">
        <v>126</v>
      </c>
      <c r="B10" s="200">
        <f>SUM(B9:B9)</f>
        <v>5443679</v>
      </c>
      <c r="C10" s="200">
        <f>SUM(C9:C9)</f>
        <v>4449935</v>
      </c>
      <c r="D10" s="200">
        <f>SUM(D9:D9)</f>
        <v>4449935</v>
      </c>
    </row>
    <row r="11" spans="1:23">
      <c r="A11" s="133"/>
      <c r="B11" s="133"/>
      <c r="C11" s="133"/>
      <c r="D11" s="133"/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</sheetData>
  <mergeCells count="3">
    <mergeCell ref="A1:D1"/>
    <mergeCell ref="A2:D3"/>
    <mergeCell ref="A7:D7"/>
  </mergeCells>
  <pageMargins left="0.7" right="0.7" top="0.75" bottom="0.75" header="0.3" footer="0.3"/>
  <pageSetup paperSize="9" orientation="portrait" r:id="rId1"/>
  <headerFooter>
    <oddHeader>&amp;R 10/c. sz. melléklet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2">
    <tabColor theme="4" tint="0.59999389629810485"/>
  </sheetPr>
  <dimension ref="A1:W23"/>
  <sheetViews>
    <sheetView zoomScaleNormal="100" workbookViewId="0">
      <selection activeCell="E10" sqref="E10"/>
    </sheetView>
  </sheetViews>
  <sheetFormatPr defaultColWidth="9.140625" defaultRowHeight="12.75"/>
  <cols>
    <col min="1" max="1" width="35.28515625" style="96" customWidth="1"/>
    <col min="2" max="2" width="12.5703125" style="96" customWidth="1"/>
    <col min="3" max="3" width="13" style="96" customWidth="1"/>
    <col min="4" max="4" width="14" style="96" customWidth="1"/>
    <col min="5" max="7" width="12.140625" style="133" customWidth="1"/>
    <col min="8" max="23" width="9.140625" style="133"/>
    <col min="24" max="16384" width="9.140625" style="96"/>
  </cols>
  <sheetData>
    <row r="1" spans="1:23">
      <c r="A1" s="873" t="s">
        <v>1041</v>
      </c>
      <c r="B1" s="873"/>
      <c r="C1" s="873"/>
      <c r="D1" s="873"/>
    </row>
    <row r="2" spans="1:23" ht="12.75" customHeight="1">
      <c r="A2" s="878" t="s">
        <v>1087</v>
      </c>
      <c r="B2" s="878"/>
      <c r="C2" s="878"/>
      <c r="D2" s="878"/>
    </row>
    <row r="3" spans="1:23" ht="18" customHeight="1">
      <c r="A3" s="878"/>
      <c r="B3" s="878"/>
      <c r="C3" s="878"/>
      <c r="D3" s="878"/>
    </row>
    <row r="4" spans="1:23" s="133" customFormat="1">
      <c r="A4" s="258"/>
      <c r="B4" s="258"/>
      <c r="C4" s="258"/>
      <c r="D4" s="259"/>
    </row>
    <row r="5" spans="1:23" s="133" customFormat="1">
      <c r="A5" s="258"/>
      <c r="B5" s="258"/>
      <c r="C5" s="258"/>
      <c r="D5" s="259"/>
      <c r="G5" s="133" t="s">
        <v>238</v>
      </c>
    </row>
    <row r="6" spans="1:23" s="133" customFormat="1">
      <c r="A6" s="258"/>
      <c r="B6" s="258"/>
      <c r="C6" s="258"/>
      <c r="D6" s="259"/>
    </row>
    <row r="7" spans="1:23" s="21" customFormat="1" ht="24.75" customHeight="1">
      <c r="A7" s="642"/>
      <c r="B7" s="879" t="s">
        <v>998</v>
      </c>
      <c r="C7" s="879"/>
      <c r="D7" s="879"/>
      <c r="E7" s="882" t="s">
        <v>997</v>
      </c>
      <c r="F7" s="883"/>
      <c r="G7" s="88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116</v>
      </c>
      <c r="B8" s="55" t="s">
        <v>117</v>
      </c>
      <c r="C8" s="55" t="s">
        <v>118</v>
      </c>
      <c r="D8" s="55" t="s">
        <v>138</v>
      </c>
      <c r="E8" s="550" t="s">
        <v>117</v>
      </c>
      <c r="F8" s="550" t="s">
        <v>118</v>
      </c>
      <c r="G8" s="550" t="s">
        <v>138</v>
      </c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 s="133" customFormat="1" ht="12.75" customHeight="1">
      <c r="A9" s="261" t="s">
        <v>60</v>
      </c>
      <c r="B9" s="260">
        <v>3162501</v>
      </c>
      <c r="C9" s="260">
        <v>3696829</v>
      </c>
      <c r="D9" s="260">
        <v>3696829</v>
      </c>
      <c r="E9" s="643">
        <v>0</v>
      </c>
      <c r="F9" s="565">
        <v>195999</v>
      </c>
      <c r="G9" s="565">
        <v>195999</v>
      </c>
    </row>
    <row r="10" spans="1:23">
      <c r="A10" s="98" t="s">
        <v>56</v>
      </c>
      <c r="B10" s="260">
        <v>0</v>
      </c>
      <c r="C10" s="260">
        <v>0</v>
      </c>
      <c r="D10" s="260">
        <v>0</v>
      </c>
      <c r="E10" s="643">
        <v>0</v>
      </c>
      <c r="F10" s="643">
        <v>0</v>
      </c>
      <c r="G10" s="643">
        <v>0</v>
      </c>
    </row>
    <row r="11" spans="1:23" ht="15.75">
      <c r="A11" s="199" t="s">
        <v>126</v>
      </c>
      <c r="B11" s="200">
        <f>SUM(B9:B10)</f>
        <v>3162501</v>
      </c>
      <c r="C11" s="200">
        <f>SUM(C9:C10)</f>
        <v>3696829</v>
      </c>
      <c r="D11" s="200">
        <f>SUM(D9:D10)</f>
        <v>3696829</v>
      </c>
      <c r="E11" s="200">
        <f t="shared" ref="E11:G11" si="0">SUM(E9:E10)</f>
        <v>0</v>
      </c>
      <c r="F11" s="200">
        <f t="shared" si="0"/>
        <v>195999</v>
      </c>
      <c r="G11" s="200">
        <f t="shared" si="0"/>
        <v>195999</v>
      </c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  <row r="23" spans="1:4">
      <c r="A23" s="133"/>
      <c r="B23" s="133"/>
      <c r="C23" s="133"/>
      <c r="D23" s="133"/>
    </row>
  </sheetData>
  <mergeCells count="4">
    <mergeCell ref="A1:D1"/>
    <mergeCell ref="A2:D3"/>
    <mergeCell ref="E7:G7"/>
    <mergeCell ref="B7:D7"/>
  </mergeCells>
  <pageMargins left="0.7" right="0.7" top="0.75" bottom="0.75" header="0.3" footer="0.3"/>
  <pageSetup paperSize="9" orientation="landscape" r:id="rId1"/>
  <headerFooter>
    <oddHeader>&amp;R 10/d. sz. melléklet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4" tint="0.59999389629810485"/>
  </sheetPr>
  <dimension ref="A1:W22"/>
  <sheetViews>
    <sheetView workbookViewId="0">
      <selection activeCell="D10" sqref="D10"/>
    </sheetView>
  </sheetViews>
  <sheetFormatPr defaultColWidth="9.140625" defaultRowHeight="12.75"/>
  <cols>
    <col min="1" max="1" width="35.28515625" style="96" customWidth="1"/>
    <col min="2" max="2" width="12.5703125" style="96" customWidth="1"/>
    <col min="3" max="3" width="13" style="96" customWidth="1"/>
    <col min="4" max="4" width="14" style="96" customWidth="1"/>
    <col min="5" max="23" width="9.140625" style="133"/>
    <col min="24" max="16384" width="9.140625" style="96"/>
  </cols>
  <sheetData>
    <row r="1" spans="1:23">
      <c r="A1" s="873" t="s">
        <v>1041</v>
      </c>
      <c r="B1" s="873"/>
      <c r="C1" s="873"/>
      <c r="D1" s="873"/>
    </row>
    <row r="2" spans="1:23" ht="12.75" customHeight="1">
      <c r="A2" s="878" t="s">
        <v>1007</v>
      </c>
      <c r="B2" s="878"/>
      <c r="C2" s="878"/>
      <c r="D2" s="878"/>
    </row>
    <row r="3" spans="1:23" ht="18" customHeight="1">
      <c r="A3" s="878"/>
      <c r="B3" s="878"/>
      <c r="C3" s="878"/>
      <c r="D3" s="878"/>
    </row>
    <row r="4" spans="1:23" s="133" customFormat="1">
      <c r="A4" s="258"/>
      <c r="B4" s="258"/>
      <c r="C4" s="258"/>
      <c r="D4" s="259"/>
    </row>
    <row r="5" spans="1:23" s="133" customFormat="1">
      <c r="A5" s="258"/>
      <c r="B5" s="258"/>
      <c r="C5" s="258"/>
      <c r="D5" s="259"/>
    </row>
    <row r="6" spans="1:23" s="133" customFormat="1">
      <c r="A6" s="258"/>
      <c r="B6" s="258"/>
      <c r="C6" s="258"/>
      <c r="D6" s="259"/>
    </row>
    <row r="7" spans="1:23" s="21" customFormat="1" ht="24.75" customHeight="1">
      <c r="A7" s="880" t="s">
        <v>238</v>
      </c>
      <c r="B7" s="881"/>
      <c r="C7" s="881"/>
      <c r="D7" s="881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116</v>
      </c>
      <c r="B8" s="55" t="s">
        <v>117</v>
      </c>
      <c r="C8" s="55" t="s">
        <v>118</v>
      </c>
      <c r="D8" s="55" t="s">
        <v>138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>
      <c r="A9" s="98" t="s">
        <v>60</v>
      </c>
      <c r="B9" s="260">
        <v>4281833</v>
      </c>
      <c r="C9" s="260">
        <v>3642954</v>
      </c>
      <c r="D9" s="260">
        <v>3642954</v>
      </c>
    </row>
    <row r="10" spans="1:23" ht="15.75">
      <c r="A10" s="199" t="s">
        <v>126</v>
      </c>
      <c r="B10" s="200">
        <f>SUM(B9:B9)</f>
        <v>4281833</v>
      </c>
      <c r="C10" s="200">
        <f>SUM(C9:C9)</f>
        <v>3642954</v>
      </c>
      <c r="D10" s="200">
        <f>SUM(D9:D9)</f>
        <v>3642954</v>
      </c>
    </row>
    <row r="11" spans="1:23">
      <c r="A11" s="133"/>
      <c r="B11" s="133"/>
      <c r="C11" s="133"/>
      <c r="D11" s="133"/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</sheetData>
  <mergeCells count="3">
    <mergeCell ref="A1:D1"/>
    <mergeCell ref="A2:D3"/>
    <mergeCell ref="A7:D7"/>
  </mergeCells>
  <pageMargins left="0.7" right="0.7" top="0.75" bottom="0.75" header="0.3" footer="0.3"/>
  <pageSetup paperSize="9" orientation="portrait" r:id="rId1"/>
  <headerFooter>
    <oddHeader>&amp;R10/d2.sz.melléklet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3">
    <tabColor theme="4" tint="0.59999389629810485"/>
  </sheetPr>
  <dimension ref="A1:W22"/>
  <sheetViews>
    <sheetView workbookViewId="0">
      <selection activeCell="D10" sqref="D10"/>
    </sheetView>
  </sheetViews>
  <sheetFormatPr defaultColWidth="9.140625" defaultRowHeight="12.75"/>
  <cols>
    <col min="1" max="1" width="35.28515625" style="96" customWidth="1"/>
    <col min="2" max="2" width="12.5703125" style="96" customWidth="1"/>
    <col min="3" max="3" width="13" style="96" customWidth="1"/>
    <col min="4" max="4" width="14" style="96" customWidth="1"/>
    <col min="5" max="23" width="9.140625" style="133"/>
    <col min="24" max="16384" width="9.140625" style="96"/>
  </cols>
  <sheetData>
    <row r="1" spans="1:23">
      <c r="A1" s="873" t="s">
        <v>1041</v>
      </c>
      <c r="B1" s="873"/>
      <c r="C1" s="873"/>
      <c r="D1" s="873"/>
    </row>
    <row r="2" spans="1:23" ht="12.75" customHeight="1">
      <c r="A2" s="878" t="s">
        <v>1088</v>
      </c>
      <c r="B2" s="878"/>
      <c r="C2" s="878"/>
      <c r="D2" s="878"/>
    </row>
    <row r="3" spans="1:23" ht="18" customHeight="1">
      <c r="A3" s="878"/>
      <c r="B3" s="878"/>
      <c r="C3" s="878"/>
      <c r="D3" s="878"/>
    </row>
    <row r="4" spans="1:23" s="133" customFormat="1">
      <c r="A4" s="258"/>
      <c r="B4" s="258"/>
      <c r="C4" s="258"/>
      <c r="D4" s="259"/>
    </row>
    <row r="5" spans="1:23" s="133" customFormat="1">
      <c r="A5" s="258"/>
      <c r="B5" s="258"/>
      <c r="C5" s="258"/>
      <c r="D5" s="259"/>
    </row>
    <row r="6" spans="1:23" s="133" customFormat="1">
      <c r="A6" s="258"/>
      <c r="B6" s="258"/>
      <c r="C6" s="258"/>
      <c r="D6" s="259"/>
    </row>
    <row r="7" spans="1:23" s="21" customFormat="1" ht="24.75" customHeight="1">
      <c r="A7" s="880" t="s">
        <v>238</v>
      </c>
      <c r="B7" s="881"/>
      <c r="C7" s="881"/>
      <c r="D7" s="881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116</v>
      </c>
      <c r="B8" s="55" t="s">
        <v>117</v>
      </c>
      <c r="C8" s="55" t="s">
        <v>118</v>
      </c>
      <c r="D8" s="55" t="s">
        <v>138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>
      <c r="A9" s="98" t="s">
        <v>60</v>
      </c>
      <c r="B9" s="260">
        <v>4369836</v>
      </c>
      <c r="C9" s="260">
        <v>5894300</v>
      </c>
      <c r="D9" s="260">
        <v>5894300</v>
      </c>
    </row>
    <row r="10" spans="1:23" ht="15.75">
      <c r="A10" s="199" t="s">
        <v>126</v>
      </c>
      <c r="B10" s="200">
        <f>SUM(B9:B9)</f>
        <v>4369836</v>
      </c>
      <c r="C10" s="200">
        <f>SUM(C9:C9)</f>
        <v>5894300</v>
      </c>
      <c r="D10" s="200">
        <f>SUM(D9:D9)</f>
        <v>5894300</v>
      </c>
    </row>
    <row r="11" spans="1:23">
      <c r="A11" s="133"/>
      <c r="B11" s="133"/>
      <c r="C11" s="133"/>
      <c r="D11" s="133"/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</sheetData>
  <mergeCells count="3">
    <mergeCell ref="A1:D1"/>
    <mergeCell ref="A2:D3"/>
    <mergeCell ref="A7:D7"/>
  </mergeCells>
  <pageMargins left="0.7" right="0.7" top="0.75" bottom="0.75" header="0.3" footer="0.3"/>
  <pageSetup paperSize="9" orientation="portrait" r:id="rId1"/>
  <headerFooter>
    <oddHeader>&amp;R 10/e. sz. melléklet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24">
    <tabColor theme="4" tint="0.59999389629810485"/>
  </sheetPr>
  <dimension ref="A1:W55"/>
  <sheetViews>
    <sheetView topLeftCell="A10" zoomScaleNormal="100" workbookViewId="0">
      <selection activeCell="F16" sqref="F16:G16"/>
    </sheetView>
  </sheetViews>
  <sheetFormatPr defaultColWidth="9.140625" defaultRowHeight="12.75"/>
  <cols>
    <col min="1" max="1" width="43.7109375" style="96" customWidth="1"/>
    <col min="2" max="2" width="14.7109375" style="96" customWidth="1"/>
    <col min="3" max="3" width="15.140625" style="96" customWidth="1"/>
    <col min="4" max="4" width="14" style="96" customWidth="1"/>
    <col min="5" max="7" width="12" style="133" customWidth="1"/>
    <col min="8" max="23" width="9.140625" style="133"/>
    <col min="24" max="16384" width="9.140625" style="96"/>
  </cols>
  <sheetData>
    <row r="1" spans="1:23">
      <c r="A1" s="873" t="s">
        <v>1041</v>
      </c>
      <c r="B1" s="873"/>
      <c r="C1" s="873"/>
      <c r="D1" s="873"/>
      <c r="E1" s="873"/>
      <c r="F1" s="873"/>
      <c r="G1" s="873"/>
    </row>
    <row r="2" spans="1:23" ht="12.75" customHeight="1">
      <c r="A2" s="878" t="s">
        <v>1089</v>
      </c>
      <c r="B2" s="878"/>
      <c r="C2" s="878"/>
      <c r="D2" s="878"/>
      <c r="E2" s="878"/>
      <c r="F2" s="878"/>
      <c r="G2" s="878"/>
    </row>
    <row r="3" spans="1:23" ht="18" customHeight="1">
      <c r="A3" s="878"/>
      <c r="B3" s="878"/>
      <c r="C3" s="878"/>
      <c r="D3" s="878"/>
      <c r="E3" s="878"/>
      <c r="F3" s="878"/>
      <c r="G3" s="878"/>
    </row>
    <row r="4" spans="1:23" s="21" customFormat="1" ht="24.75" customHeight="1">
      <c r="A4" s="877" t="s">
        <v>238</v>
      </c>
      <c r="B4" s="877"/>
      <c r="C4" s="877"/>
      <c r="D4" s="877"/>
      <c r="E4" s="877"/>
      <c r="F4" s="877"/>
      <c r="G4" s="877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</row>
    <row r="5" spans="1:23" s="21" customFormat="1" ht="24.75" customHeight="1">
      <c r="A5" s="731" t="s">
        <v>116</v>
      </c>
      <c r="B5" s="879" t="s">
        <v>998</v>
      </c>
      <c r="C5" s="879"/>
      <c r="D5" s="879"/>
      <c r="E5" s="840" t="s">
        <v>997</v>
      </c>
      <c r="F5" s="840"/>
      <c r="G5" s="840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</row>
    <row r="6" spans="1:23" s="97" customFormat="1" ht="25.5">
      <c r="A6" s="731"/>
      <c r="B6" s="55" t="s">
        <v>117</v>
      </c>
      <c r="C6" s="55" t="s">
        <v>118</v>
      </c>
      <c r="D6" s="55" t="s">
        <v>138</v>
      </c>
      <c r="E6" s="549" t="s">
        <v>117</v>
      </c>
      <c r="F6" s="549" t="s">
        <v>118</v>
      </c>
      <c r="G6" s="549" t="s">
        <v>138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</row>
    <row r="7" spans="1:23" s="133" customFormat="1" ht="12.75" customHeight="1">
      <c r="A7" s="98" t="s">
        <v>70</v>
      </c>
      <c r="B7" s="260">
        <f>'10a'!B10</f>
        <v>0</v>
      </c>
      <c r="C7" s="260">
        <f>'10a'!C10</f>
        <v>0</v>
      </c>
      <c r="D7" s="260">
        <f>'10a'!D10</f>
        <v>0</v>
      </c>
      <c r="E7" s="260">
        <f>'10a'!E10</f>
        <v>0</v>
      </c>
      <c r="F7" s="260">
        <f>'10a'!F10</f>
        <v>0</v>
      </c>
      <c r="G7" s="260">
        <f>'10a'!G10</f>
        <v>0</v>
      </c>
    </row>
    <row r="8" spans="1:23">
      <c r="A8" s="261" t="s">
        <v>72</v>
      </c>
      <c r="B8" s="260">
        <f>'10a'!B11</f>
        <v>281667</v>
      </c>
      <c r="C8" s="260">
        <f>'10a'!C11</f>
        <v>281667</v>
      </c>
      <c r="D8" s="260">
        <f>'10a'!D11</f>
        <v>281667</v>
      </c>
      <c r="E8" s="260">
        <f>'10a'!E11</f>
        <v>0</v>
      </c>
      <c r="F8" s="260">
        <f>'10a'!F11</f>
        <v>0</v>
      </c>
      <c r="G8" s="260">
        <f>'10a'!G11</f>
        <v>0</v>
      </c>
    </row>
    <row r="9" spans="1:23">
      <c r="A9" s="261" t="s">
        <v>64</v>
      </c>
      <c r="B9" s="260">
        <f>'10a'!B12</f>
        <v>0</v>
      </c>
      <c r="C9" s="260">
        <f>'10a'!C12</f>
        <v>0</v>
      </c>
      <c r="D9" s="260">
        <f>'10a'!D12</f>
        <v>0</v>
      </c>
      <c r="E9" s="260">
        <f>'10a'!E12</f>
        <v>0</v>
      </c>
      <c r="F9" s="260">
        <f>'10a'!F12</f>
        <v>0</v>
      </c>
      <c r="G9" s="260">
        <f>'10a'!G12</f>
        <v>0</v>
      </c>
    </row>
    <row r="10" spans="1:23">
      <c r="A10" s="261" t="s">
        <v>56</v>
      </c>
      <c r="B10" s="260">
        <f>'10a'!B13</f>
        <v>0</v>
      </c>
      <c r="C10" s="260">
        <f>'10a'!C13</f>
        <v>0</v>
      </c>
      <c r="D10" s="260">
        <f>'10a'!D13</f>
        <v>0</v>
      </c>
      <c r="E10" s="260">
        <f>'10a'!E13</f>
        <v>0</v>
      </c>
      <c r="F10" s="260">
        <f>'10a'!F13</f>
        <v>0</v>
      </c>
      <c r="G10" s="260">
        <f>'10a'!G13</f>
        <v>0</v>
      </c>
    </row>
    <row r="11" spans="1:23">
      <c r="A11" s="261" t="s">
        <v>67</v>
      </c>
      <c r="B11" s="260">
        <f>'10a'!B14</f>
        <v>0</v>
      </c>
      <c r="C11" s="260">
        <f>'10a'!C14</f>
        <v>0</v>
      </c>
      <c r="D11" s="260">
        <f>'10a'!D14</f>
        <v>0</v>
      </c>
      <c r="E11" s="260">
        <f>'10a'!E14</f>
        <v>0</v>
      </c>
      <c r="F11" s="260">
        <f>'10a'!F14</f>
        <v>0</v>
      </c>
      <c r="G11" s="260">
        <f>'10a'!G14</f>
        <v>0</v>
      </c>
    </row>
    <row r="12" spans="1:23">
      <c r="A12" s="261" t="s">
        <v>192</v>
      </c>
      <c r="B12" s="260">
        <f>'10a'!B15</f>
        <v>0</v>
      </c>
      <c r="C12" s="260">
        <f>'10a'!C15</f>
        <v>0</v>
      </c>
      <c r="D12" s="260">
        <f>'10a'!D15</f>
        <v>0</v>
      </c>
      <c r="E12" s="260">
        <f>'10a'!E15</f>
        <v>0</v>
      </c>
      <c r="F12" s="260">
        <f>'10a'!F15</f>
        <v>0</v>
      </c>
      <c r="G12" s="260">
        <f>'10a'!G15</f>
        <v>0</v>
      </c>
    </row>
    <row r="13" spans="1:23">
      <c r="A13" s="261" t="s">
        <v>55</v>
      </c>
      <c r="B13" s="260">
        <f>'10a'!B16</f>
        <v>0</v>
      </c>
      <c r="C13" s="260">
        <f>'10a'!C16</f>
        <v>0</v>
      </c>
      <c r="D13" s="260">
        <f>'10a'!D16</f>
        <v>0</v>
      </c>
      <c r="E13" s="260">
        <f>'10a'!E16</f>
        <v>0</v>
      </c>
      <c r="F13" s="260">
        <f>'10a'!F16</f>
        <v>0</v>
      </c>
      <c r="G13" s="260">
        <f>'10a'!G16</f>
        <v>0</v>
      </c>
    </row>
    <row r="14" spans="1:23">
      <c r="A14" s="261" t="s">
        <v>63</v>
      </c>
      <c r="B14" s="260">
        <f>'10a'!B17+'10b'!B12</f>
        <v>297304</v>
      </c>
      <c r="C14" s="260">
        <f>'10a'!C17+'10b'!C12</f>
        <v>297304</v>
      </c>
      <c r="D14" s="260">
        <f>'10a'!D17+'10b'!D12</f>
        <v>297304</v>
      </c>
      <c r="E14" s="260">
        <f>'10a'!E17+'10b'!E12</f>
        <v>0</v>
      </c>
      <c r="F14" s="260">
        <f>'10a'!F17+'10b'!F12</f>
        <v>0</v>
      </c>
      <c r="G14" s="260">
        <f>'10a'!G17+'10b'!G12</f>
        <v>0</v>
      </c>
    </row>
    <row r="15" spans="1:23">
      <c r="A15" s="261" t="s">
        <v>251</v>
      </c>
      <c r="B15" s="260">
        <f>'10a'!B18</f>
        <v>0</v>
      </c>
      <c r="C15" s="260">
        <f>'10a'!C18</f>
        <v>0</v>
      </c>
      <c r="D15" s="260">
        <f>'10a'!D18</f>
        <v>0</v>
      </c>
      <c r="E15" s="260">
        <f>'10a'!E18</f>
        <v>0</v>
      </c>
      <c r="F15" s="260">
        <f>'10a'!F18</f>
        <v>0</v>
      </c>
      <c r="G15" s="260">
        <f>'10a'!G18</f>
        <v>0</v>
      </c>
    </row>
    <row r="16" spans="1:23">
      <c r="A16" s="98" t="s">
        <v>60</v>
      </c>
      <c r="B16" s="260">
        <f>'10a'!B19</f>
        <v>12890923</v>
      </c>
      <c r="C16" s="260">
        <f>'10a'!C19</f>
        <v>9580691</v>
      </c>
      <c r="D16" s="260">
        <f>'10a'!D19</f>
        <v>9580691</v>
      </c>
      <c r="E16" s="260">
        <f>'10a'!E19</f>
        <v>450000</v>
      </c>
      <c r="F16" s="260">
        <f>'10a'!F19</f>
        <v>254001</v>
      </c>
      <c r="G16" s="260">
        <f>'10a'!G19</f>
        <v>254001</v>
      </c>
    </row>
    <row r="17" spans="1:7">
      <c r="A17" s="261" t="s">
        <v>65</v>
      </c>
      <c r="B17" s="260">
        <f>'10a'!B20</f>
        <v>0</v>
      </c>
      <c r="C17" s="260">
        <f>'10a'!C20</f>
        <v>0</v>
      </c>
      <c r="D17" s="260">
        <f>'10a'!D20</f>
        <v>0</v>
      </c>
      <c r="E17" s="260">
        <f>'10a'!E20</f>
        <v>0</v>
      </c>
      <c r="F17" s="260">
        <f>'10a'!F20</f>
        <v>0</v>
      </c>
      <c r="G17" s="260">
        <f>'10a'!G20</f>
        <v>0</v>
      </c>
    </row>
    <row r="18" spans="1:7">
      <c r="A18" s="261" t="s">
        <v>59</v>
      </c>
      <c r="B18" s="260">
        <f>'10a'!B21</f>
        <v>0</v>
      </c>
      <c r="C18" s="260">
        <f>'10a'!C21</f>
        <v>0</v>
      </c>
      <c r="D18" s="260">
        <f>'10a'!D21</f>
        <v>0</v>
      </c>
      <c r="E18" s="260">
        <f>'10a'!E21</f>
        <v>0</v>
      </c>
      <c r="F18" s="260">
        <f>'10a'!F21</f>
        <v>0</v>
      </c>
      <c r="G18" s="260">
        <f>'10a'!G21</f>
        <v>0</v>
      </c>
    </row>
    <row r="19" spans="1:7">
      <c r="A19" s="261" t="s">
        <v>62</v>
      </c>
      <c r="B19" s="260">
        <f>'10a'!B22</f>
        <v>267146</v>
      </c>
      <c r="C19" s="260">
        <f>'10a'!C22</f>
        <v>267146</v>
      </c>
      <c r="D19" s="260">
        <f>'10a'!D22</f>
        <v>267146</v>
      </c>
      <c r="E19" s="260">
        <f>'10a'!E22</f>
        <v>0</v>
      </c>
      <c r="F19" s="260">
        <f>'10a'!F22</f>
        <v>0</v>
      </c>
      <c r="G19" s="260">
        <f>'10a'!G22</f>
        <v>0</v>
      </c>
    </row>
    <row r="20" spans="1:7">
      <c r="A20" s="261" t="s">
        <v>61</v>
      </c>
      <c r="B20" s="260">
        <f>'10a'!B23</f>
        <v>125611</v>
      </c>
      <c r="C20" s="260">
        <f>'10a'!C23</f>
        <v>125611</v>
      </c>
      <c r="D20" s="260">
        <f>'10a'!D23</f>
        <v>125611</v>
      </c>
      <c r="E20" s="260">
        <f>'10a'!E23</f>
        <v>0</v>
      </c>
      <c r="F20" s="260">
        <f>'10a'!F23</f>
        <v>0</v>
      </c>
      <c r="G20" s="260">
        <f>'10a'!G23</f>
        <v>0</v>
      </c>
    </row>
    <row r="21" spans="1:7">
      <c r="A21" s="261" t="s">
        <v>57</v>
      </c>
      <c r="B21" s="260">
        <f>'10a'!B24</f>
        <v>0</v>
      </c>
      <c r="C21" s="260">
        <f>'10a'!C24</f>
        <v>0</v>
      </c>
      <c r="D21" s="260">
        <f>'10a'!D24</f>
        <v>0</v>
      </c>
      <c r="E21" s="260">
        <f>'10a'!E24</f>
        <v>0</v>
      </c>
      <c r="F21" s="260">
        <f>'10a'!F24</f>
        <v>0</v>
      </c>
      <c r="G21" s="260">
        <f>'10a'!G24</f>
        <v>0</v>
      </c>
    </row>
    <row r="22" spans="1:7">
      <c r="A22" s="3" t="s">
        <v>249</v>
      </c>
      <c r="B22" s="260">
        <f>'10a'!B25</f>
        <v>0</v>
      </c>
      <c r="C22" s="260">
        <f>'10a'!C25</f>
        <v>0</v>
      </c>
      <c r="D22" s="260">
        <f>'10a'!D25</f>
        <v>0</v>
      </c>
      <c r="E22" s="260">
        <f>'10a'!E25</f>
        <v>0</v>
      </c>
      <c r="F22" s="260">
        <f>'10a'!F25</f>
        <v>0</v>
      </c>
      <c r="G22" s="260">
        <f>'10a'!G25</f>
        <v>0</v>
      </c>
    </row>
    <row r="23" spans="1:7">
      <c r="A23" s="261" t="s">
        <v>68</v>
      </c>
      <c r="B23" s="260">
        <f>'10a'!B26</f>
        <v>0</v>
      </c>
      <c r="C23" s="260">
        <f>'10a'!C26</f>
        <v>0</v>
      </c>
      <c r="D23" s="260">
        <f>'10a'!D26</f>
        <v>0</v>
      </c>
      <c r="E23" s="260">
        <f>'10a'!E26</f>
        <v>0</v>
      </c>
      <c r="F23" s="260">
        <f>'10a'!F26</f>
        <v>0</v>
      </c>
      <c r="G23" s="260">
        <f>'10a'!G26</f>
        <v>0</v>
      </c>
    </row>
    <row r="24" spans="1:7">
      <c r="A24" s="303" t="s">
        <v>437</v>
      </c>
      <c r="B24" s="305">
        <f>SUM(B7:B23)</f>
        <v>13862651</v>
      </c>
      <c r="C24" s="305">
        <f>SUM(C7:C23)</f>
        <v>10552419</v>
      </c>
      <c r="D24" s="305">
        <f>SUM(D7:D23)</f>
        <v>10552419</v>
      </c>
      <c r="E24" s="305">
        <f t="shared" ref="E24:G24" si="0">SUM(E7:E23)</f>
        <v>450000</v>
      </c>
      <c r="F24" s="305">
        <f t="shared" si="0"/>
        <v>254001</v>
      </c>
      <c r="G24" s="305">
        <f t="shared" si="0"/>
        <v>254001</v>
      </c>
    </row>
    <row r="25" spans="1:7">
      <c r="A25" s="261" t="s">
        <v>55</v>
      </c>
      <c r="B25" s="260">
        <f>SUM('10b'!B9)</f>
        <v>0</v>
      </c>
      <c r="C25" s="260">
        <f>SUM('10b'!C9)</f>
        <v>0</v>
      </c>
      <c r="D25" s="260">
        <f>SUM('10b'!D9)</f>
        <v>0</v>
      </c>
      <c r="E25" s="260">
        <f>SUM('10b'!E9)</f>
        <v>0</v>
      </c>
      <c r="F25" s="260">
        <f>SUM('10b'!F9)</f>
        <v>0</v>
      </c>
      <c r="G25" s="260">
        <f>SUM('10b'!G9)</f>
        <v>0</v>
      </c>
    </row>
    <row r="26" spans="1:7">
      <c r="A26" s="261" t="s">
        <v>60</v>
      </c>
      <c r="B26" s="260">
        <f>'10b'!B10</f>
        <v>2885679</v>
      </c>
      <c r="C26" s="260">
        <f>'10b'!C10</f>
        <v>2995194</v>
      </c>
      <c r="D26" s="260">
        <f>'10b'!D10</f>
        <v>2995194</v>
      </c>
      <c r="E26" s="260">
        <f>'10b'!E10</f>
        <v>0</v>
      </c>
      <c r="F26" s="260">
        <f>'10b'!F10</f>
        <v>0</v>
      </c>
      <c r="G26" s="260">
        <f>'10b'!G10</f>
        <v>0</v>
      </c>
    </row>
    <row r="27" spans="1:7">
      <c r="A27" s="261" t="s">
        <v>65</v>
      </c>
      <c r="B27" s="260">
        <f>'10b'!B11</f>
        <v>0</v>
      </c>
      <c r="C27" s="260">
        <f>'10b'!C11</f>
        <v>0</v>
      </c>
      <c r="D27" s="260">
        <f>'10b'!D11</f>
        <v>0</v>
      </c>
      <c r="E27" s="260">
        <f>'10b'!E11</f>
        <v>0</v>
      </c>
      <c r="F27" s="260">
        <f>'10b'!F11</f>
        <v>0</v>
      </c>
      <c r="G27" s="260">
        <f>'10b'!G11</f>
        <v>0</v>
      </c>
    </row>
    <row r="28" spans="1:7">
      <c r="A28" s="261" t="s">
        <v>70</v>
      </c>
      <c r="B28" s="260">
        <f>'10b'!B13</f>
        <v>1863840</v>
      </c>
      <c r="C28" s="260">
        <f>'10b'!C13</f>
        <v>1863840</v>
      </c>
      <c r="D28" s="260">
        <f>'10b'!D13</f>
        <v>1863840</v>
      </c>
      <c r="E28" s="260">
        <f>'10b'!E13</f>
        <v>0</v>
      </c>
      <c r="F28" s="260">
        <f>'10b'!F13</f>
        <v>0</v>
      </c>
      <c r="G28" s="260">
        <f>'10b'!G13</f>
        <v>0</v>
      </c>
    </row>
    <row r="29" spans="1:7" ht="12.75" customHeight="1">
      <c r="A29" s="303" t="s">
        <v>438</v>
      </c>
      <c r="B29" s="305">
        <f>SUM(B25:B28)</f>
        <v>4749519</v>
      </c>
      <c r="C29" s="305">
        <f>SUM(C25:C28)</f>
        <v>4859034</v>
      </c>
      <c r="D29" s="305">
        <f>SUM(D25:D28)</f>
        <v>4859034</v>
      </c>
      <c r="E29" s="305">
        <f t="shared" ref="E29:G29" si="1">SUM(E25:E28)</f>
        <v>0</v>
      </c>
      <c r="F29" s="305">
        <f t="shared" si="1"/>
        <v>0</v>
      </c>
      <c r="G29" s="305">
        <f t="shared" si="1"/>
        <v>0</v>
      </c>
    </row>
    <row r="30" spans="1:7" ht="12.75" customHeight="1">
      <c r="A30" s="261" t="s">
        <v>60</v>
      </c>
      <c r="B30" s="260">
        <f>SUM('10c'!B9)</f>
        <v>5443679</v>
      </c>
      <c r="C30" s="260">
        <f>SUM('10c'!C9)</f>
        <v>4449935</v>
      </c>
      <c r="D30" s="260">
        <f>SUM('10c'!D9)</f>
        <v>4449935</v>
      </c>
      <c r="E30" s="260">
        <f>SUM('10c'!E9)</f>
        <v>0</v>
      </c>
      <c r="F30" s="260">
        <f>SUM('10c'!F9)</f>
        <v>0</v>
      </c>
      <c r="G30" s="260">
        <f>SUM('10c'!G9)</f>
        <v>0</v>
      </c>
    </row>
    <row r="31" spans="1:7" ht="12.75" customHeight="1">
      <c r="A31" s="303" t="s">
        <v>439</v>
      </c>
      <c r="B31" s="305">
        <f>SUM(B30)</f>
        <v>5443679</v>
      </c>
      <c r="C31" s="305">
        <f>SUM(C30)</f>
        <v>4449935</v>
      </c>
      <c r="D31" s="305">
        <f>SUM(D30)</f>
        <v>4449935</v>
      </c>
      <c r="E31" s="305">
        <f t="shared" ref="E31:G31" si="2">SUM(E30)</f>
        <v>0</v>
      </c>
      <c r="F31" s="305">
        <f t="shared" si="2"/>
        <v>0</v>
      </c>
      <c r="G31" s="305">
        <f t="shared" si="2"/>
        <v>0</v>
      </c>
    </row>
    <row r="32" spans="1:7" ht="12.75" customHeight="1">
      <c r="A32" s="261" t="s">
        <v>60</v>
      </c>
      <c r="B32" s="481">
        <f>'10d2'!B9</f>
        <v>4281833</v>
      </c>
      <c r="C32" s="481">
        <f>'10d2'!C9</f>
        <v>3642954</v>
      </c>
      <c r="D32" s="481">
        <f>'10d2'!D9</f>
        <v>3642954</v>
      </c>
      <c r="E32" s="481">
        <f>'10d2'!E9</f>
        <v>0</v>
      </c>
      <c r="F32" s="481">
        <f>'10d2'!F9</f>
        <v>0</v>
      </c>
      <c r="G32" s="481">
        <f>'10d2'!G9</f>
        <v>0</v>
      </c>
    </row>
    <row r="33" spans="1:7" ht="12.75" customHeight="1">
      <c r="A33" s="303" t="s">
        <v>883</v>
      </c>
      <c r="B33" s="305">
        <f>SUM(B32)</f>
        <v>4281833</v>
      </c>
      <c r="C33" s="305">
        <f t="shared" ref="C33:D33" si="3">SUM(C32)</f>
        <v>3642954</v>
      </c>
      <c r="D33" s="305">
        <f t="shared" si="3"/>
        <v>3642954</v>
      </c>
      <c r="E33" s="305">
        <f t="shared" ref="E33:G33" si="4">SUM(E32)</f>
        <v>0</v>
      </c>
      <c r="F33" s="305">
        <f t="shared" si="4"/>
        <v>0</v>
      </c>
      <c r="G33" s="305">
        <f t="shared" si="4"/>
        <v>0</v>
      </c>
    </row>
    <row r="34" spans="1:7" ht="12.75" customHeight="1">
      <c r="A34" s="261" t="s">
        <v>60</v>
      </c>
      <c r="B34" s="260">
        <f>SUM('10d'!B9)</f>
        <v>3162501</v>
      </c>
      <c r="C34" s="260">
        <f>SUM('10d'!C9)</f>
        <v>3696829</v>
      </c>
      <c r="D34" s="260">
        <f>SUM('10d'!D9)</f>
        <v>3696829</v>
      </c>
      <c r="E34" s="260">
        <f>SUM('10d'!E9)</f>
        <v>0</v>
      </c>
      <c r="F34" s="260">
        <f>SUM('10d'!F9)</f>
        <v>195999</v>
      </c>
      <c r="G34" s="260">
        <f>SUM('10d'!G9)</f>
        <v>195999</v>
      </c>
    </row>
    <row r="35" spans="1:7" ht="12.75" customHeight="1">
      <c r="A35" s="98" t="s">
        <v>56</v>
      </c>
      <c r="B35" s="260">
        <f>SUM('10d'!B10)</f>
        <v>0</v>
      </c>
      <c r="C35" s="260">
        <f>SUM('10d'!C10)</f>
        <v>0</v>
      </c>
      <c r="D35" s="260">
        <f>SUM('10d'!D10)</f>
        <v>0</v>
      </c>
      <c r="E35" s="260">
        <f>SUM('10d'!E10)</f>
        <v>0</v>
      </c>
      <c r="F35" s="260">
        <f>SUM('10d'!F10)</f>
        <v>0</v>
      </c>
      <c r="G35" s="260">
        <f>SUM('10d'!G10)</f>
        <v>0</v>
      </c>
    </row>
    <row r="36" spans="1:7" ht="12.75" customHeight="1">
      <c r="A36" s="303" t="s">
        <v>440</v>
      </c>
      <c r="B36" s="305">
        <f>SUM(B34:B35)</f>
        <v>3162501</v>
      </c>
      <c r="C36" s="305">
        <f>SUM(C34:C35)</f>
        <v>3696829</v>
      </c>
      <c r="D36" s="305">
        <f>SUM(D34:D35)</f>
        <v>3696829</v>
      </c>
      <c r="E36" s="305">
        <f t="shared" ref="E36:G36" si="5">SUM(E34:E35)</f>
        <v>0</v>
      </c>
      <c r="F36" s="305">
        <f t="shared" si="5"/>
        <v>195999</v>
      </c>
      <c r="G36" s="305">
        <f t="shared" si="5"/>
        <v>195999</v>
      </c>
    </row>
    <row r="37" spans="1:7" ht="12.75" customHeight="1">
      <c r="A37" s="261" t="s">
        <v>60</v>
      </c>
      <c r="B37" s="260">
        <f>SUM('10e'!B9)</f>
        <v>4369836</v>
      </c>
      <c r="C37" s="260">
        <f>SUM('10e'!C9)</f>
        <v>5894300</v>
      </c>
      <c r="D37" s="260">
        <f>SUM('10e'!D9)</f>
        <v>5894300</v>
      </c>
      <c r="E37" s="260">
        <f>SUM('10e'!E9)</f>
        <v>0</v>
      </c>
      <c r="F37" s="260">
        <f>SUM('10e'!F9)</f>
        <v>0</v>
      </c>
      <c r="G37" s="260">
        <f>SUM('10e'!G9)</f>
        <v>0</v>
      </c>
    </row>
    <row r="38" spans="1:7" ht="12.75" customHeight="1">
      <c r="A38" s="303" t="s">
        <v>441</v>
      </c>
      <c r="B38" s="305">
        <f>SUM(B37)</f>
        <v>4369836</v>
      </c>
      <c r="C38" s="305">
        <f>SUM(C37)</f>
        <v>5894300</v>
      </c>
      <c r="D38" s="305">
        <f>SUM(D37)</f>
        <v>5894300</v>
      </c>
      <c r="E38" s="305">
        <f t="shared" ref="E38:G38" si="6">SUM(E37)</f>
        <v>0</v>
      </c>
      <c r="F38" s="305">
        <f t="shared" si="6"/>
        <v>0</v>
      </c>
      <c r="G38" s="305">
        <f t="shared" si="6"/>
        <v>0</v>
      </c>
    </row>
    <row r="39" spans="1:7" ht="12.75" customHeight="1">
      <c r="A39" s="304" t="s">
        <v>442</v>
      </c>
      <c r="B39" s="306">
        <f>SUM(B16+B26+B30+B34+B37+B32)</f>
        <v>33034451</v>
      </c>
      <c r="C39" s="306">
        <f t="shared" ref="C39:D39" si="7">SUM(C16+C26+C30+C34+C37+C32)</f>
        <v>30259903</v>
      </c>
      <c r="D39" s="306">
        <f t="shared" si="7"/>
        <v>30259903</v>
      </c>
      <c r="E39" s="306">
        <f t="shared" ref="E39:G39" si="8">SUM(E16+E26+E30+E34+E37+E32)</f>
        <v>450000</v>
      </c>
      <c r="F39" s="306">
        <f t="shared" si="8"/>
        <v>450000</v>
      </c>
      <c r="G39" s="306">
        <f t="shared" si="8"/>
        <v>450000</v>
      </c>
    </row>
    <row r="40" spans="1:7" ht="12.75" customHeight="1">
      <c r="A40" s="304" t="s">
        <v>483</v>
      </c>
      <c r="B40" s="306">
        <f>SUM(B17+B27)</f>
        <v>0</v>
      </c>
      <c r="C40" s="306">
        <f>SUM(C17+C27)</f>
        <v>0</v>
      </c>
      <c r="D40" s="306">
        <f>SUM(D17+D27)</f>
        <v>0</v>
      </c>
      <c r="E40" s="306">
        <f t="shared" ref="E40:G40" si="9">SUM(E17+E27)</f>
        <v>0</v>
      </c>
      <c r="F40" s="306">
        <f t="shared" si="9"/>
        <v>0</v>
      </c>
      <c r="G40" s="306">
        <f t="shared" si="9"/>
        <v>0</v>
      </c>
    </row>
    <row r="41" spans="1:7" ht="12.75" customHeight="1">
      <c r="A41" s="304" t="s">
        <v>443</v>
      </c>
      <c r="B41" s="306">
        <f>SUM(B7+B28)</f>
        <v>1863840</v>
      </c>
      <c r="C41" s="306">
        <f>SUM(C7+C28)</f>
        <v>1863840</v>
      </c>
      <c r="D41" s="306">
        <f>SUM(D7+D28)</f>
        <v>1863840</v>
      </c>
      <c r="E41" s="306">
        <f t="shared" ref="E41:G41" si="10">SUM(E7+E28)</f>
        <v>0</v>
      </c>
      <c r="F41" s="306">
        <f t="shared" si="10"/>
        <v>0</v>
      </c>
      <c r="G41" s="306">
        <f t="shared" si="10"/>
        <v>0</v>
      </c>
    </row>
    <row r="42" spans="1:7" ht="12.75" customHeight="1">
      <c r="A42" s="304" t="s">
        <v>444</v>
      </c>
      <c r="B42" s="306">
        <f>SUM(B35,B10)</f>
        <v>0</v>
      </c>
      <c r="C42" s="306">
        <f>SUM(C35,C10)</f>
        <v>0</v>
      </c>
      <c r="D42" s="306">
        <f>SUM(D35,D10)</f>
        <v>0</v>
      </c>
      <c r="E42" s="306">
        <f t="shared" ref="E42:G42" si="11">SUM(E35,E10)</f>
        <v>0</v>
      </c>
      <c r="F42" s="306">
        <f t="shared" si="11"/>
        <v>0</v>
      </c>
      <c r="G42" s="306">
        <f t="shared" si="11"/>
        <v>0</v>
      </c>
    </row>
    <row r="43" spans="1:7" ht="15.75">
      <c r="A43" s="199" t="s">
        <v>126</v>
      </c>
      <c r="B43" s="200">
        <f>SUM(B38,B36,B31,B29,B24,B33)</f>
        <v>35870019</v>
      </c>
      <c r="C43" s="200">
        <f t="shared" ref="C43:D43" si="12">SUM(C38,C36,C31,C29,C24,C33)</f>
        <v>33095471</v>
      </c>
      <c r="D43" s="200">
        <f t="shared" si="12"/>
        <v>33095471</v>
      </c>
      <c r="E43" s="200">
        <f t="shared" ref="E43:G43" si="13">SUM(E38,E36,E31,E29,E24,E33)</f>
        <v>450000</v>
      </c>
      <c r="F43" s="200">
        <f t="shared" si="13"/>
        <v>450000</v>
      </c>
      <c r="G43" s="200">
        <f t="shared" si="13"/>
        <v>450000</v>
      </c>
    </row>
    <row r="44" spans="1:7">
      <c r="A44" s="133"/>
      <c r="B44" s="133"/>
      <c r="C44" s="133"/>
      <c r="D44" s="133"/>
    </row>
    <row r="45" spans="1:7">
      <c r="A45" s="133"/>
      <c r="B45" s="133"/>
      <c r="C45" s="133"/>
      <c r="D45" s="133"/>
    </row>
    <row r="46" spans="1:7">
      <c r="A46" s="133"/>
      <c r="B46" s="133"/>
      <c r="C46" s="133"/>
      <c r="D46" s="133"/>
    </row>
    <row r="47" spans="1:7">
      <c r="A47" s="133"/>
      <c r="B47" s="133"/>
      <c r="C47" s="133"/>
      <c r="D47" s="133"/>
    </row>
    <row r="48" spans="1:7">
      <c r="A48" s="133"/>
      <c r="B48" s="133"/>
      <c r="C48" s="133"/>
      <c r="D48" s="133"/>
    </row>
    <row r="49" spans="1:4">
      <c r="A49" s="133"/>
      <c r="B49" s="133"/>
      <c r="C49" s="133"/>
      <c r="D49" s="133"/>
    </row>
    <row r="50" spans="1:4">
      <c r="A50" s="133"/>
      <c r="B50" s="133"/>
      <c r="C50" s="133"/>
      <c r="D50" s="133"/>
    </row>
    <row r="51" spans="1:4">
      <c r="A51" s="133"/>
      <c r="B51" s="133"/>
      <c r="C51" s="133"/>
      <c r="D51" s="133"/>
    </row>
    <row r="52" spans="1:4">
      <c r="A52" s="133"/>
      <c r="B52" s="133"/>
      <c r="C52" s="133"/>
      <c r="D52" s="133"/>
    </row>
    <row r="53" spans="1:4">
      <c r="A53" s="133"/>
      <c r="B53" s="133"/>
      <c r="C53" s="133"/>
      <c r="D53" s="133"/>
    </row>
    <row r="54" spans="1:4">
      <c r="A54" s="133"/>
      <c r="B54" s="133"/>
      <c r="C54" s="133"/>
      <c r="D54" s="133"/>
    </row>
    <row r="55" spans="1:4">
      <c r="A55" s="133"/>
      <c r="B55" s="133"/>
      <c r="C55" s="133"/>
      <c r="D55" s="133"/>
    </row>
  </sheetData>
  <mergeCells count="6">
    <mergeCell ref="E5:G5"/>
    <mergeCell ref="A4:G4"/>
    <mergeCell ref="A1:G1"/>
    <mergeCell ref="A2:G3"/>
    <mergeCell ref="A5:A6"/>
    <mergeCell ref="B5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>&amp;R10/f. sz. melléklet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25">
    <tabColor theme="4" tint="0.59999389629810485"/>
  </sheetPr>
  <dimension ref="A1:Z52"/>
  <sheetViews>
    <sheetView zoomScaleNormal="100" workbookViewId="0">
      <selection activeCell="D28" sqref="D28"/>
    </sheetView>
  </sheetViews>
  <sheetFormatPr defaultColWidth="9.140625" defaultRowHeight="12.75"/>
  <cols>
    <col min="1" max="1" width="33.85546875" style="99" customWidth="1"/>
    <col min="2" max="2" width="13.42578125" style="96" customWidth="1"/>
    <col min="3" max="3" width="14.140625" style="96" bestFit="1" customWidth="1"/>
    <col min="4" max="4" width="15.5703125" style="96" customWidth="1"/>
    <col min="5" max="7" width="10.7109375" style="133" customWidth="1"/>
    <col min="8" max="26" width="9.140625" style="133"/>
    <col min="27" max="16384" width="9.140625" style="96"/>
  </cols>
  <sheetData>
    <row r="1" spans="1:26">
      <c r="A1" s="873" t="s">
        <v>1041</v>
      </c>
      <c r="B1" s="873"/>
      <c r="C1" s="873"/>
      <c r="D1" s="873"/>
      <c r="E1" s="873"/>
      <c r="F1" s="873"/>
      <c r="G1" s="873"/>
    </row>
    <row r="2" spans="1:26" ht="12.75" customHeight="1">
      <c r="A2" s="878" t="s">
        <v>1079</v>
      </c>
      <c r="B2" s="878"/>
      <c r="C2" s="878"/>
      <c r="D2" s="878"/>
      <c r="E2" s="878"/>
      <c r="F2" s="878"/>
      <c r="G2" s="878"/>
    </row>
    <row r="3" spans="1:26">
      <c r="A3" s="878"/>
      <c r="B3" s="878"/>
      <c r="C3" s="878"/>
      <c r="D3" s="878"/>
      <c r="E3" s="878"/>
      <c r="F3" s="878"/>
      <c r="G3" s="878"/>
    </row>
    <row r="4" spans="1:26" s="21" customFormat="1" ht="19.5" customHeight="1">
      <c r="A4" s="880" t="s">
        <v>238</v>
      </c>
      <c r="B4" s="880"/>
      <c r="C4" s="880"/>
      <c r="D4" s="880"/>
      <c r="E4" s="880"/>
      <c r="F4" s="880"/>
      <c r="G4" s="880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</row>
    <row r="5" spans="1:26" s="21" customFormat="1" ht="19.5" customHeight="1">
      <c r="A5" s="791" t="s">
        <v>116</v>
      </c>
      <c r="B5" s="879" t="s">
        <v>998</v>
      </c>
      <c r="C5" s="879"/>
      <c r="D5" s="879"/>
      <c r="E5" s="840" t="s">
        <v>997</v>
      </c>
      <c r="F5" s="840"/>
      <c r="G5" s="840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</row>
    <row r="6" spans="1:26" s="20" customFormat="1" ht="34.5" customHeight="1">
      <c r="A6" s="791"/>
      <c r="B6" s="251" t="s">
        <v>117</v>
      </c>
      <c r="C6" s="251" t="s">
        <v>118</v>
      </c>
      <c r="D6" s="251" t="s">
        <v>138</v>
      </c>
      <c r="E6" s="251" t="s">
        <v>117</v>
      </c>
      <c r="F6" s="251" t="s">
        <v>118</v>
      </c>
      <c r="G6" s="251" t="s">
        <v>138</v>
      </c>
      <c r="H6" s="322"/>
      <c r="I6" s="322"/>
      <c r="J6" s="322"/>
      <c r="K6" s="322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</row>
    <row r="7" spans="1:26" customFormat="1" ht="16.5" customHeight="1">
      <c r="A7" s="249" t="s">
        <v>64</v>
      </c>
      <c r="B7" s="427">
        <v>324889</v>
      </c>
      <c r="C7" s="427">
        <v>324889</v>
      </c>
      <c r="D7" s="427">
        <v>324889</v>
      </c>
      <c r="E7" s="5"/>
      <c r="F7" s="5"/>
      <c r="G7" s="5"/>
    </row>
    <row r="8" spans="1:26" customFormat="1" ht="16.5" customHeight="1">
      <c r="A8" s="249" t="s">
        <v>67</v>
      </c>
      <c r="B8" s="427">
        <v>134405</v>
      </c>
      <c r="C8" s="427">
        <v>134405</v>
      </c>
      <c r="D8" s="427">
        <v>134405</v>
      </c>
      <c r="E8" s="5"/>
      <c r="F8" s="5"/>
      <c r="G8" s="5"/>
    </row>
    <row r="9" spans="1:26" customFormat="1" ht="16.5" customHeight="1">
      <c r="A9" s="249" t="s">
        <v>192</v>
      </c>
      <c r="B9" s="427">
        <v>129705</v>
      </c>
      <c r="C9" s="427">
        <v>129705</v>
      </c>
      <c r="D9" s="427">
        <v>129705</v>
      </c>
      <c r="E9" s="5"/>
      <c r="F9" s="5"/>
      <c r="G9" s="5"/>
    </row>
    <row r="10" spans="1:26" customFormat="1" ht="16.5" customHeight="1">
      <c r="A10" s="249" t="s">
        <v>55</v>
      </c>
      <c r="B10" s="427">
        <v>75192</v>
      </c>
      <c r="C10" s="427">
        <v>75192</v>
      </c>
      <c r="D10" s="427">
        <v>75192</v>
      </c>
      <c r="E10" s="5"/>
      <c r="F10" s="5"/>
      <c r="G10" s="5"/>
    </row>
    <row r="11" spans="1:26" customFormat="1" ht="16.5" customHeight="1">
      <c r="A11" s="249" t="s">
        <v>63</v>
      </c>
      <c r="B11" s="427">
        <v>199570</v>
      </c>
      <c r="C11" s="427">
        <v>199570</v>
      </c>
      <c r="D11" s="427">
        <v>199570</v>
      </c>
      <c r="E11" s="5"/>
      <c r="F11" s="5"/>
      <c r="G11" s="5"/>
    </row>
    <row r="12" spans="1:26" customFormat="1" ht="16.5" customHeight="1">
      <c r="A12" s="249" t="s">
        <v>251</v>
      </c>
      <c r="B12" s="427">
        <v>89916</v>
      </c>
      <c r="C12" s="427">
        <v>89916</v>
      </c>
      <c r="D12" s="427">
        <v>89916</v>
      </c>
      <c r="E12" s="5"/>
      <c r="F12" s="5"/>
      <c r="G12" s="5"/>
    </row>
    <row r="13" spans="1:26" ht="16.5" customHeight="1">
      <c r="A13" s="323" t="s">
        <v>58</v>
      </c>
      <c r="B13" s="260">
        <v>2603349</v>
      </c>
      <c r="C13" s="260">
        <v>2603349</v>
      </c>
      <c r="D13" s="260">
        <v>2603349</v>
      </c>
      <c r="E13" s="565"/>
      <c r="F13" s="565"/>
      <c r="G13" s="565"/>
    </row>
    <row r="14" spans="1:26" ht="16.5" customHeight="1">
      <c r="A14" s="323" t="s">
        <v>56</v>
      </c>
      <c r="B14" s="260">
        <v>0</v>
      </c>
      <c r="C14" s="260">
        <v>0</v>
      </c>
      <c r="D14" s="260">
        <v>0</v>
      </c>
      <c r="E14" s="565"/>
      <c r="F14" s="565"/>
      <c r="G14" s="565"/>
    </row>
    <row r="15" spans="1:26" ht="16.5" customHeight="1">
      <c r="A15" s="323" t="s">
        <v>62</v>
      </c>
      <c r="B15" s="260">
        <v>0</v>
      </c>
      <c r="C15" s="260">
        <v>0</v>
      </c>
      <c r="D15" s="260">
        <v>0</v>
      </c>
      <c r="E15" s="565"/>
      <c r="F15" s="565"/>
      <c r="G15" s="565"/>
    </row>
    <row r="16" spans="1:26" ht="16.5" customHeight="1">
      <c r="A16" s="323" t="s">
        <v>59</v>
      </c>
      <c r="B16" s="260">
        <v>0</v>
      </c>
      <c r="C16" s="260">
        <v>0</v>
      </c>
      <c r="D16" s="260">
        <v>0</v>
      </c>
      <c r="E16" s="565"/>
      <c r="F16" s="565"/>
      <c r="G16" s="565"/>
    </row>
    <row r="17" spans="1:26" ht="16.5" customHeight="1">
      <c r="A17" s="323" t="s">
        <v>61</v>
      </c>
      <c r="B17" s="260">
        <v>0</v>
      </c>
      <c r="C17" s="260">
        <v>0</v>
      </c>
      <c r="D17" s="260">
        <v>0</v>
      </c>
      <c r="E17" s="565"/>
      <c r="F17" s="565"/>
      <c r="G17" s="565"/>
    </row>
    <row r="18" spans="1:26" ht="16.5" customHeight="1">
      <c r="A18" s="323" t="s">
        <v>66</v>
      </c>
      <c r="B18" s="260">
        <v>0</v>
      </c>
      <c r="C18" s="260">
        <v>0</v>
      </c>
      <c r="D18" s="260">
        <v>0</v>
      </c>
      <c r="E18" s="565"/>
      <c r="F18" s="565"/>
      <c r="G18" s="565"/>
    </row>
    <row r="19" spans="1:26" ht="16.5" customHeight="1">
      <c r="A19" s="323" t="s">
        <v>71</v>
      </c>
      <c r="B19" s="260">
        <v>0</v>
      </c>
      <c r="C19" s="260">
        <v>0</v>
      </c>
      <c r="D19" s="260">
        <v>0</v>
      </c>
      <c r="E19" s="565"/>
      <c r="F19" s="565"/>
      <c r="G19" s="565"/>
    </row>
    <row r="20" spans="1:26" ht="16.5" customHeight="1">
      <c r="A20" s="323" t="s">
        <v>57</v>
      </c>
      <c r="B20" s="260">
        <v>0</v>
      </c>
      <c r="C20" s="260">
        <v>0</v>
      </c>
      <c r="D20" s="260">
        <v>0</v>
      </c>
      <c r="E20" s="565"/>
      <c r="F20" s="565"/>
      <c r="G20" s="565"/>
    </row>
    <row r="21" spans="1:26" ht="16.5" customHeight="1">
      <c r="A21" s="323" t="s">
        <v>69</v>
      </c>
      <c r="B21" s="260">
        <v>0</v>
      </c>
      <c r="C21" s="260">
        <v>0</v>
      </c>
      <c r="D21" s="260">
        <v>0</v>
      </c>
      <c r="E21" s="565"/>
      <c r="F21" s="565"/>
      <c r="G21" s="565"/>
    </row>
    <row r="22" spans="1:26" ht="16.5" customHeight="1">
      <c r="A22" s="323" t="s">
        <v>249</v>
      </c>
      <c r="B22" s="260">
        <v>0</v>
      </c>
      <c r="C22" s="260">
        <v>0</v>
      </c>
      <c r="D22" s="260">
        <v>0</v>
      </c>
      <c r="E22" s="565"/>
      <c r="F22" s="565"/>
      <c r="G22" s="565"/>
    </row>
    <row r="23" spans="1:26" ht="16.5" customHeight="1">
      <c r="A23" s="323" t="s">
        <v>68</v>
      </c>
      <c r="B23" s="260">
        <v>0</v>
      </c>
      <c r="C23" s="260">
        <v>0</v>
      </c>
      <c r="D23" s="260">
        <v>0</v>
      </c>
      <c r="E23" s="565"/>
      <c r="F23" s="565"/>
      <c r="G23" s="565"/>
    </row>
    <row r="24" spans="1:26" ht="16.5" customHeight="1">
      <c r="A24" s="262" t="s">
        <v>70</v>
      </c>
      <c r="B24" s="260">
        <v>3048604</v>
      </c>
      <c r="C24" s="260">
        <v>3048604</v>
      </c>
      <c r="D24" s="260">
        <v>3048604</v>
      </c>
      <c r="E24" s="565"/>
      <c r="F24" s="565"/>
      <c r="G24" s="565"/>
    </row>
    <row r="25" spans="1:26" ht="16.5" customHeight="1">
      <c r="A25" s="262" t="s">
        <v>72</v>
      </c>
      <c r="B25" s="260">
        <v>183335</v>
      </c>
      <c r="C25" s="260">
        <v>183335</v>
      </c>
      <c r="D25" s="260">
        <v>183335</v>
      </c>
      <c r="E25" s="565"/>
      <c r="F25" s="565"/>
      <c r="G25" s="565"/>
    </row>
    <row r="26" spans="1:26" ht="16.5" customHeight="1">
      <c r="A26" s="323" t="s">
        <v>60</v>
      </c>
      <c r="B26" s="260">
        <v>57238370</v>
      </c>
      <c r="C26" s="260">
        <v>55685055</v>
      </c>
      <c r="D26" s="260">
        <v>55685055</v>
      </c>
      <c r="E26" s="565">
        <v>250000</v>
      </c>
      <c r="F26" s="565">
        <v>250000</v>
      </c>
      <c r="G26" s="565">
        <v>250000</v>
      </c>
    </row>
    <row r="27" spans="1:26" s="158" customFormat="1" ht="16.5" customHeight="1">
      <c r="A27" s="262" t="s">
        <v>65</v>
      </c>
      <c r="B27" s="260">
        <v>600000</v>
      </c>
      <c r="C27" s="260">
        <v>600000</v>
      </c>
      <c r="D27" s="260">
        <v>600000</v>
      </c>
      <c r="E27" s="566"/>
      <c r="F27" s="566"/>
      <c r="G27" s="566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</row>
    <row r="28" spans="1:26" s="133" customFormat="1" ht="15.75">
      <c r="A28" s="324" t="s">
        <v>126</v>
      </c>
      <c r="B28" s="325">
        <f>SUM(B7:B26,B27)</f>
        <v>64627335</v>
      </c>
      <c r="C28" s="325">
        <f>SUM(C7:C26,C27)</f>
        <v>63074020</v>
      </c>
      <c r="D28" s="325">
        <f>SUM(D7:D26,D27)</f>
        <v>63074020</v>
      </c>
      <c r="E28" s="238">
        <f>SUM(E7:E27)</f>
        <v>250000</v>
      </c>
      <c r="F28" s="238">
        <f t="shared" ref="F28:G28" si="0">SUM(F7:F27)</f>
        <v>250000</v>
      </c>
      <c r="G28" s="238">
        <f t="shared" si="0"/>
        <v>250000</v>
      </c>
    </row>
    <row r="29" spans="1:26" s="133" customFormat="1">
      <c r="A29" s="143"/>
    </row>
    <row r="30" spans="1:26">
      <c r="A30" s="143"/>
      <c r="B30" s="133"/>
      <c r="C30" s="133"/>
      <c r="D30" s="133"/>
    </row>
    <row r="31" spans="1:26">
      <c r="A31" s="143"/>
      <c r="B31" s="133"/>
      <c r="C31" s="133"/>
      <c r="D31" s="133"/>
    </row>
    <row r="32" spans="1:26">
      <c r="A32" s="143"/>
      <c r="B32" s="133"/>
      <c r="C32" s="133"/>
      <c r="D32" s="133"/>
    </row>
    <row r="33" spans="1:4">
      <c r="A33" s="143"/>
      <c r="B33" s="133"/>
      <c r="C33" s="133"/>
      <c r="D33" s="133"/>
    </row>
    <row r="34" spans="1:4">
      <c r="A34" s="143"/>
      <c r="B34" s="133"/>
      <c r="C34" s="133"/>
      <c r="D34" s="133"/>
    </row>
    <row r="35" spans="1:4" ht="12.75" customHeight="1">
      <c r="A35" s="144"/>
      <c r="B35" s="139"/>
      <c r="C35" s="139"/>
      <c r="D35" s="139"/>
    </row>
    <row r="36" spans="1:4" ht="18" customHeight="1">
      <c r="A36" s="144"/>
      <c r="B36" s="139"/>
      <c r="C36" s="139"/>
      <c r="D36" s="139"/>
    </row>
    <row r="37" spans="1:4">
      <c r="A37" s="143"/>
      <c r="B37" s="133"/>
      <c r="C37" s="133"/>
      <c r="D37" s="133"/>
    </row>
    <row r="38" spans="1:4">
      <c r="A38" s="143"/>
      <c r="B38" s="133"/>
      <c r="C38" s="133"/>
      <c r="D38" s="133"/>
    </row>
    <row r="39" spans="1:4" s="134" customFormat="1">
      <c r="A39" s="140"/>
      <c r="B39" s="140"/>
      <c r="C39" s="885"/>
      <c r="D39" s="885"/>
    </row>
    <row r="40" spans="1:4" s="135" customFormat="1">
      <c r="A40" s="145"/>
      <c r="B40" s="141"/>
      <c r="C40" s="141"/>
      <c r="D40" s="141"/>
    </row>
    <row r="41" spans="1:4" ht="15">
      <c r="A41" s="146"/>
      <c r="B41" s="147"/>
      <c r="C41" s="142"/>
      <c r="D41" s="142"/>
    </row>
    <row r="42" spans="1:4" ht="15">
      <c r="A42" s="146"/>
      <c r="B42" s="147"/>
      <c r="C42" s="148"/>
      <c r="D42" s="148"/>
    </row>
    <row r="43" spans="1:4" ht="15.75">
      <c r="A43" s="144"/>
      <c r="B43" s="149"/>
      <c r="C43" s="149"/>
      <c r="D43" s="149"/>
    </row>
    <row r="44" spans="1:4">
      <c r="A44" s="143"/>
      <c r="B44" s="133"/>
      <c r="C44" s="133"/>
      <c r="D44" s="133"/>
    </row>
    <row r="45" spans="1:4">
      <c r="A45" s="143"/>
      <c r="B45" s="133"/>
      <c r="C45" s="133"/>
      <c r="D45" s="133"/>
    </row>
    <row r="46" spans="1:4">
      <c r="A46" s="143"/>
      <c r="B46" s="133"/>
      <c r="C46" s="133"/>
      <c r="D46" s="133"/>
    </row>
    <row r="47" spans="1:4">
      <c r="A47" s="143"/>
      <c r="B47" s="133"/>
      <c r="C47" s="133"/>
      <c r="D47" s="133"/>
    </row>
    <row r="48" spans="1:4">
      <c r="A48" s="143"/>
      <c r="B48" s="133"/>
      <c r="C48" s="133"/>
      <c r="D48" s="133"/>
    </row>
    <row r="49" spans="1:4">
      <c r="A49" s="143"/>
      <c r="B49" s="133"/>
      <c r="C49" s="133"/>
      <c r="D49" s="133"/>
    </row>
    <row r="50" spans="1:4">
      <c r="A50" s="143"/>
      <c r="B50" s="133"/>
      <c r="C50" s="133"/>
      <c r="D50" s="133"/>
    </row>
    <row r="51" spans="1:4">
      <c r="A51" s="143"/>
      <c r="B51" s="133"/>
      <c r="C51" s="133"/>
      <c r="D51" s="133"/>
    </row>
    <row r="52" spans="1:4">
      <c r="A52" s="143"/>
      <c r="B52" s="133"/>
      <c r="C52" s="133"/>
      <c r="D52" s="133"/>
    </row>
  </sheetData>
  <mergeCells count="7">
    <mergeCell ref="E5:G5"/>
    <mergeCell ref="A4:G4"/>
    <mergeCell ref="A1:G1"/>
    <mergeCell ref="A2:G3"/>
    <mergeCell ref="C39:D39"/>
    <mergeCell ref="A5:A6"/>
    <mergeCell ref="B5:D5"/>
  </mergeCells>
  <phoneticPr fontId="1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8" orientation="landscape" r:id="rId1"/>
  <headerFooter alignWithMargins="0">
    <oddHeader>&amp;R&amp;"Times New Roman,Normál"&amp;11 10/g. sz. melléklet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26">
    <tabColor theme="4" tint="0.59999389629810485"/>
  </sheetPr>
  <dimension ref="A1:AC56"/>
  <sheetViews>
    <sheetView topLeftCell="A10" zoomScaleNormal="100" workbookViewId="0">
      <selection activeCell="D16" sqref="D16"/>
    </sheetView>
  </sheetViews>
  <sheetFormatPr defaultColWidth="9.140625" defaultRowHeight="12.75"/>
  <cols>
    <col min="1" max="1" width="30" style="96" customWidth="1"/>
    <col min="2" max="2" width="14.140625" style="96" customWidth="1"/>
    <col min="3" max="3" width="16.42578125" style="96" customWidth="1"/>
    <col min="4" max="4" width="15" style="153" customWidth="1"/>
    <col min="5" max="29" width="9.140625" style="133"/>
    <col min="30" max="16384" width="9.140625" style="96"/>
  </cols>
  <sheetData>
    <row r="1" spans="1:29">
      <c r="A1" s="873" t="s">
        <v>1041</v>
      </c>
      <c r="B1" s="873"/>
      <c r="C1" s="873"/>
      <c r="D1" s="873"/>
    </row>
    <row r="2" spans="1:29" ht="12.75" customHeight="1">
      <c r="A2" s="878" t="s">
        <v>1081</v>
      </c>
      <c r="B2" s="878"/>
      <c r="C2" s="878"/>
      <c r="D2" s="878"/>
    </row>
    <row r="3" spans="1:29" ht="20.25" customHeight="1">
      <c r="A3" s="878"/>
      <c r="B3" s="878"/>
      <c r="C3" s="878"/>
      <c r="D3" s="878"/>
    </row>
    <row r="4" spans="1:29" s="100" customFormat="1">
      <c r="A4" s="886"/>
      <c r="B4" s="887"/>
      <c r="C4" s="887"/>
      <c r="D4" s="887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</row>
    <row r="5" spans="1:29" s="150" customFormat="1" ht="20.25" customHeight="1">
      <c r="A5" s="259"/>
      <c r="B5" s="258"/>
      <c r="C5" s="258"/>
      <c r="D5" s="263"/>
    </row>
    <row r="6" spans="1:29" s="21" customFormat="1" ht="21.75" customHeight="1">
      <c r="A6" s="880" t="s">
        <v>238</v>
      </c>
      <c r="B6" s="881"/>
      <c r="C6" s="881"/>
      <c r="D6" s="881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</row>
    <row r="7" spans="1:29" s="20" customFormat="1" ht="28.5" customHeight="1">
      <c r="A7" s="138" t="s">
        <v>116</v>
      </c>
      <c r="B7" s="55" t="s">
        <v>117</v>
      </c>
      <c r="C7" s="55" t="s">
        <v>118</v>
      </c>
      <c r="D7" s="55" t="s">
        <v>138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1:29" ht="15.75" customHeight="1">
      <c r="A8" s="98" t="s">
        <v>58</v>
      </c>
      <c r="B8" s="260">
        <v>1725500</v>
      </c>
      <c r="C8" s="260">
        <v>1725500</v>
      </c>
      <c r="D8" s="260">
        <v>1725500</v>
      </c>
    </row>
    <row r="9" spans="1:29" ht="15.75" customHeight="1">
      <c r="A9" s="98" t="s">
        <v>63</v>
      </c>
      <c r="B9" s="260">
        <v>318500</v>
      </c>
      <c r="C9" s="260">
        <v>318500</v>
      </c>
      <c r="D9" s="260">
        <v>318500</v>
      </c>
    </row>
    <row r="10" spans="1:29" s="21" customFormat="1" ht="15.75" customHeight="1">
      <c r="A10" s="98" t="s">
        <v>55</v>
      </c>
      <c r="B10" s="260">
        <v>120000</v>
      </c>
      <c r="C10" s="260">
        <v>120000</v>
      </c>
      <c r="D10" s="260">
        <v>120000</v>
      </c>
      <c r="E10" s="59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</row>
    <row r="11" spans="1:29" ht="15.75" customHeight="1">
      <c r="A11" s="98" t="s">
        <v>64</v>
      </c>
      <c r="B11" s="260">
        <v>518500</v>
      </c>
      <c r="C11" s="260">
        <v>518500</v>
      </c>
      <c r="D11" s="260">
        <v>518500</v>
      </c>
      <c r="E11" s="151"/>
    </row>
    <row r="12" spans="1:29" ht="15.75" customHeight="1">
      <c r="A12" s="98" t="s">
        <v>67</v>
      </c>
      <c r="B12" s="260">
        <v>214500</v>
      </c>
      <c r="C12" s="260">
        <v>214500</v>
      </c>
      <c r="D12" s="260">
        <v>214500</v>
      </c>
    </row>
    <row r="13" spans="1:29" ht="15.75" customHeight="1">
      <c r="A13" s="264" t="s">
        <v>251</v>
      </c>
      <c r="B13" s="260">
        <v>143500</v>
      </c>
      <c r="C13" s="260">
        <v>143500</v>
      </c>
      <c r="D13" s="260">
        <f>35875+107625</f>
        <v>143500</v>
      </c>
    </row>
    <row r="14" spans="1:29" ht="15.75" customHeight="1">
      <c r="A14" s="98" t="s">
        <v>192</v>
      </c>
      <c r="B14" s="260">
        <v>207000</v>
      </c>
      <c r="C14" s="260">
        <v>207000</v>
      </c>
      <c r="D14" s="260">
        <v>207000</v>
      </c>
    </row>
    <row r="15" spans="1:29" ht="15.75" customHeight="1">
      <c r="A15" s="98" t="s">
        <v>70</v>
      </c>
      <c r="B15" s="260">
        <v>1164000</v>
      </c>
      <c r="C15" s="260">
        <v>1164000</v>
      </c>
      <c r="D15" s="260">
        <v>1164000</v>
      </c>
    </row>
    <row r="16" spans="1:29" ht="15.75" customHeight="1">
      <c r="A16" s="98" t="s">
        <v>62</v>
      </c>
      <c r="B16" s="260">
        <v>375500</v>
      </c>
      <c r="C16" s="260">
        <v>375500</v>
      </c>
      <c r="D16" s="260">
        <v>375500</v>
      </c>
    </row>
    <row r="17" spans="1:29" ht="15.75" customHeight="1">
      <c r="A17" s="98" t="s">
        <v>59</v>
      </c>
      <c r="B17" s="260">
        <v>166500</v>
      </c>
      <c r="C17" s="260">
        <v>166500</v>
      </c>
      <c r="D17" s="260">
        <v>166500</v>
      </c>
    </row>
    <row r="18" spans="1:29" ht="15.75" customHeight="1">
      <c r="A18" s="98" t="s">
        <v>72</v>
      </c>
      <c r="B18" s="260">
        <v>70000</v>
      </c>
      <c r="C18" s="260">
        <v>70000</v>
      </c>
      <c r="D18" s="260">
        <v>70000</v>
      </c>
    </row>
    <row r="19" spans="1:29" ht="15.75" customHeight="1">
      <c r="A19" s="98" t="s">
        <v>61</v>
      </c>
      <c r="B19" s="260">
        <v>109500</v>
      </c>
      <c r="C19" s="260">
        <v>109500</v>
      </c>
      <c r="D19" s="260">
        <v>109500</v>
      </c>
    </row>
    <row r="20" spans="1:29" ht="15.75" customHeight="1">
      <c r="A20" s="98" t="s">
        <v>66</v>
      </c>
      <c r="B20" s="260">
        <v>618500</v>
      </c>
      <c r="C20" s="260">
        <v>618500</v>
      </c>
      <c r="D20" s="260">
        <v>618500</v>
      </c>
    </row>
    <row r="21" spans="1:29" ht="15.75" customHeight="1">
      <c r="A21" s="98" t="s">
        <v>56</v>
      </c>
      <c r="B21" s="260">
        <v>374000</v>
      </c>
      <c r="C21" s="260">
        <v>374000</v>
      </c>
      <c r="D21" s="260">
        <v>374000</v>
      </c>
    </row>
    <row r="22" spans="1:29" ht="15.75" customHeight="1">
      <c r="A22" s="98" t="s">
        <v>71</v>
      </c>
      <c r="B22" s="260">
        <v>63500</v>
      </c>
      <c r="C22" s="260">
        <v>63500</v>
      </c>
      <c r="D22" s="260">
        <v>63500</v>
      </c>
    </row>
    <row r="23" spans="1:29" ht="15.75" customHeight="1">
      <c r="A23" s="98" t="s">
        <v>57</v>
      </c>
      <c r="B23" s="260">
        <v>77000</v>
      </c>
      <c r="C23" s="260">
        <v>77000</v>
      </c>
      <c r="D23" s="260">
        <v>77000</v>
      </c>
    </row>
    <row r="24" spans="1:29" ht="15.75" customHeight="1">
      <c r="A24" s="98" t="s">
        <v>69</v>
      </c>
      <c r="B24" s="260">
        <v>23500</v>
      </c>
      <c r="C24" s="260">
        <v>23500</v>
      </c>
      <c r="D24" s="260">
        <v>23500</v>
      </c>
    </row>
    <row r="25" spans="1:29" ht="15.75" customHeight="1">
      <c r="A25" s="98" t="s">
        <v>68</v>
      </c>
      <c r="B25" s="260">
        <v>160000</v>
      </c>
      <c r="C25" s="260">
        <v>160000</v>
      </c>
      <c r="D25" s="260">
        <v>160000</v>
      </c>
    </row>
    <row r="26" spans="1:29" ht="15.75" customHeight="1">
      <c r="A26" s="261" t="s">
        <v>249</v>
      </c>
      <c r="B26" s="260">
        <v>359000</v>
      </c>
      <c r="C26" s="260">
        <v>359000</v>
      </c>
      <c r="D26" s="260">
        <v>359000</v>
      </c>
    </row>
    <row r="27" spans="1:29" s="158" customFormat="1" ht="15.75" customHeight="1">
      <c r="A27" s="98" t="s">
        <v>60</v>
      </c>
      <c r="B27" s="260">
        <v>12304000</v>
      </c>
      <c r="C27" s="260">
        <v>12304000</v>
      </c>
      <c r="D27" s="260">
        <v>12304000</v>
      </c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</row>
    <row r="28" spans="1:29" s="133" customFormat="1" ht="15" customHeight="1">
      <c r="A28" s="98" t="s">
        <v>65</v>
      </c>
      <c r="B28" s="260">
        <v>396500</v>
      </c>
      <c r="C28" s="260">
        <v>396500</v>
      </c>
      <c r="D28" s="260">
        <v>396500</v>
      </c>
    </row>
    <row r="29" spans="1:29" s="133" customFormat="1" ht="15.75">
      <c r="A29" s="199" t="s">
        <v>126</v>
      </c>
      <c r="B29" s="200">
        <f>SUM(B8:B28)</f>
        <v>19509000</v>
      </c>
      <c r="C29" s="200">
        <f>SUM(C8:C28)</f>
        <v>19509000</v>
      </c>
      <c r="D29" s="200">
        <f>SUM(D8:D28)</f>
        <v>19509000</v>
      </c>
    </row>
    <row r="30" spans="1:29" s="577" customFormat="1" ht="6.75" customHeight="1">
      <c r="D30" s="578"/>
    </row>
    <row r="31" spans="1:29" s="133" customFormat="1">
      <c r="A31" s="579" t="s">
        <v>1091</v>
      </c>
      <c r="B31" s="565">
        <v>730937</v>
      </c>
      <c r="C31" s="565">
        <v>730937</v>
      </c>
      <c r="D31" s="580">
        <v>730937</v>
      </c>
    </row>
    <row r="32" spans="1:29" s="133" customFormat="1" ht="15.75">
      <c r="A32" s="199" t="s">
        <v>73</v>
      </c>
      <c r="B32" s="200">
        <f>SUM(B29,B31)</f>
        <v>20239937</v>
      </c>
      <c r="C32" s="200">
        <f>SUM(C29,C31)</f>
        <v>20239937</v>
      </c>
      <c r="D32" s="200">
        <f>SUM(D29,D31)</f>
        <v>20239937</v>
      </c>
    </row>
    <row r="33" spans="1:4">
      <c r="A33" s="133"/>
      <c r="B33" s="133"/>
      <c r="C33" s="133"/>
      <c r="D33" s="152"/>
    </row>
    <row r="34" spans="1:4">
      <c r="A34" s="133"/>
      <c r="B34" s="133"/>
      <c r="C34" s="133"/>
      <c r="D34" s="152"/>
    </row>
    <row r="35" spans="1:4">
      <c r="A35" s="133"/>
      <c r="B35" s="133"/>
      <c r="C35" s="133"/>
      <c r="D35" s="152"/>
    </row>
    <row r="36" spans="1:4">
      <c r="A36" s="133"/>
      <c r="B36" s="133"/>
      <c r="C36" s="133"/>
      <c r="D36" s="152"/>
    </row>
    <row r="37" spans="1:4">
      <c r="A37" s="133"/>
      <c r="B37" s="133"/>
      <c r="C37" s="133"/>
      <c r="D37" s="152"/>
    </row>
    <row r="38" spans="1:4">
      <c r="A38" s="133"/>
      <c r="B38" s="133"/>
      <c r="C38" s="133"/>
      <c r="D38" s="152"/>
    </row>
    <row r="39" spans="1:4">
      <c r="A39" s="133"/>
      <c r="B39" s="133"/>
      <c r="C39" s="133"/>
      <c r="D39" s="152"/>
    </row>
    <row r="40" spans="1:4">
      <c r="A40" s="133"/>
      <c r="B40" s="133"/>
      <c r="C40" s="133"/>
      <c r="D40" s="152"/>
    </row>
    <row r="41" spans="1:4">
      <c r="A41" s="133"/>
      <c r="B41" s="133"/>
      <c r="C41" s="133"/>
      <c r="D41" s="152"/>
    </row>
    <row r="42" spans="1:4">
      <c r="A42" s="133"/>
      <c r="B42" s="133"/>
      <c r="C42" s="133"/>
      <c r="D42" s="152"/>
    </row>
    <row r="43" spans="1:4">
      <c r="A43" s="133"/>
      <c r="B43" s="133"/>
      <c r="C43" s="133"/>
      <c r="D43" s="152"/>
    </row>
    <row r="44" spans="1:4">
      <c r="A44" s="133"/>
      <c r="B44" s="133"/>
      <c r="C44" s="133"/>
      <c r="D44" s="152"/>
    </row>
    <row r="45" spans="1:4">
      <c r="A45" s="133"/>
      <c r="B45" s="133"/>
      <c r="C45" s="133"/>
      <c r="D45" s="152"/>
    </row>
    <row r="46" spans="1:4">
      <c r="A46" s="133"/>
      <c r="B46" s="133"/>
      <c r="C46" s="133"/>
      <c r="D46" s="152"/>
    </row>
    <row r="47" spans="1:4">
      <c r="A47" s="133"/>
      <c r="B47" s="133"/>
      <c r="C47" s="133"/>
      <c r="D47" s="152"/>
    </row>
    <row r="48" spans="1:4">
      <c r="A48" s="133"/>
      <c r="B48" s="133"/>
      <c r="C48" s="133"/>
      <c r="D48" s="152"/>
    </row>
    <row r="49" spans="1:4">
      <c r="A49" s="133"/>
      <c r="B49" s="133"/>
      <c r="C49" s="133"/>
      <c r="D49" s="152"/>
    </row>
    <row r="50" spans="1:4">
      <c r="A50" s="133"/>
      <c r="B50" s="133"/>
      <c r="C50" s="133"/>
      <c r="D50" s="152"/>
    </row>
    <row r="51" spans="1:4">
      <c r="A51" s="133"/>
      <c r="B51" s="133"/>
      <c r="C51" s="133"/>
      <c r="D51" s="152"/>
    </row>
    <row r="52" spans="1:4">
      <c r="A52" s="133"/>
      <c r="B52" s="133"/>
      <c r="C52" s="133"/>
      <c r="D52" s="152"/>
    </row>
    <row r="53" spans="1:4">
      <c r="A53" s="133"/>
      <c r="B53" s="133"/>
      <c r="C53" s="133"/>
      <c r="D53" s="152"/>
    </row>
    <row r="54" spans="1:4">
      <c r="A54" s="133"/>
      <c r="B54" s="133"/>
      <c r="C54" s="133"/>
      <c r="D54" s="152"/>
    </row>
    <row r="55" spans="1:4">
      <c r="A55" s="133"/>
      <c r="B55" s="133"/>
      <c r="C55" s="133"/>
      <c r="D55" s="152"/>
    </row>
    <row r="56" spans="1:4">
      <c r="A56" s="133"/>
      <c r="B56" s="133"/>
      <c r="C56" s="133"/>
      <c r="D56" s="152"/>
    </row>
  </sheetData>
  <mergeCells count="4">
    <mergeCell ref="A2:D3"/>
    <mergeCell ref="A4:D4"/>
    <mergeCell ref="A6:D6"/>
    <mergeCell ref="A1:D1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&amp;R&amp;"Times New Roman,Normál"&amp;11 10/h. sz. melléklet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27">
    <tabColor theme="4" tint="0.59999389629810485"/>
  </sheetPr>
  <dimension ref="A1:X57"/>
  <sheetViews>
    <sheetView topLeftCell="A10" zoomScaleNormal="100" workbookViewId="0">
      <selection activeCell="G32" sqref="G32"/>
    </sheetView>
  </sheetViews>
  <sheetFormatPr defaultColWidth="9.140625" defaultRowHeight="12.75"/>
  <cols>
    <col min="1" max="1" width="30" style="96" customWidth="1"/>
    <col min="2" max="2" width="13.7109375" style="96" customWidth="1"/>
    <col min="3" max="3" width="16.42578125" style="96" customWidth="1"/>
    <col min="4" max="4" width="15" style="153" customWidth="1"/>
    <col min="5" max="7" width="11.85546875" style="151" customWidth="1"/>
    <col min="8" max="24" width="9.140625" style="133"/>
    <col min="25" max="16384" width="9.140625" style="96"/>
  </cols>
  <sheetData>
    <row r="1" spans="1:24">
      <c r="A1" s="873" t="s">
        <v>1041</v>
      </c>
      <c r="B1" s="873"/>
      <c r="C1" s="873"/>
      <c r="D1" s="873"/>
      <c r="E1" s="873"/>
      <c r="F1" s="873"/>
      <c r="G1" s="873"/>
    </row>
    <row r="2" spans="1:24" ht="12.75" customHeight="1">
      <c r="A2" s="878" t="s">
        <v>1082</v>
      </c>
      <c r="B2" s="878"/>
      <c r="C2" s="878"/>
      <c r="D2" s="878"/>
      <c r="E2" s="878"/>
      <c r="F2" s="878"/>
      <c r="G2" s="878"/>
    </row>
    <row r="3" spans="1:24" ht="20.25" customHeight="1">
      <c r="A3" s="878"/>
      <c r="B3" s="878"/>
      <c r="C3" s="878"/>
      <c r="D3" s="878"/>
      <c r="E3" s="878"/>
      <c r="F3" s="878"/>
      <c r="G3" s="878"/>
    </row>
    <row r="4" spans="1:24" s="21" customFormat="1" ht="21.75" customHeight="1">
      <c r="A4" s="877" t="s">
        <v>238</v>
      </c>
      <c r="B4" s="877"/>
      <c r="C4" s="877"/>
      <c r="D4" s="877"/>
      <c r="E4" s="877"/>
      <c r="F4" s="877"/>
      <c r="G4" s="877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4" s="21" customFormat="1" ht="21.75" customHeight="1">
      <c r="A5" s="731" t="s">
        <v>116</v>
      </c>
      <c r="B5" s="879" t="s">
        <v>998</v>
      </c>
      <c r="C5" s="879"/>
      <c r="D5" s="879"/>
      <c r="E5" s="840" t="s">
        <v>997</v>
      </c>
      <c r="F5" s="840"/>
      <c r="G5" s="840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</row>
    <row r="6" spans="1:24" s="20" customFormat="1" ht="28.5" customHeight="1">
      <c r="A6" s="731"/>
      <c r="B6" s="568" t="s">
        <v>117</v>
      </c>
      <c r="C6" s="55" t="s">
        <v>118</v>
      </c>
      <c r="D6" s="55" t="s">
        <v>138</v>
      </c>
      <c r="E6" s="550" t="s">
        <v>117</v>
      </c>
      <c r="F6" s="550" t="s">
        <v>118</v>
      </c>
      <c r="G6" s="550" t="s">
        <v>138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</row>
    <row r="7" spans="1:24" ht="15.75" customHeight="1">
      <c r="A7" s="98" t="s">
        <v>58</v>
      </c>
      <c r="B7" s="260">
        <v>532815</v>
      </c>
      <c r="C7" s="260">
        <v>532815</v>
      </c>
      <c r="D7" s="260">
        <v>532815</v>
      </c>
      <c r="E7" s="565">
        <v>0</v>
      </c>
      <c r="F7" s="565">
        <v>0</v>
      </c>
      <c r="G7" s="565">
        <v>0</v>
      </c>
    </row>
    <row r="8" spans="1:24" ht="15.75" customHeight="1">
      <c r="A8" s="98" t="s">
        <v>63</v>
      </c>
      <c r="B8" s="260">
        <v>98349</v>
      </c>
      <c r="C8" s="260">
        <v>98349</v>
      </c>
      <c r="D8" s="260">
        <v>98349</v>
      </c>
      <c r="E8" s="565">
        <v>0</v>
      </c>
      <c r="F8" s="565">
        <v>0</v>
      </c>
      <c r="G8" s="565">
        <v>0</v>
      </c>
    </row>
    <row r="9" spans="1:24" s="21" customFormat="1" ht="15.75" customHeight="1">
      <c r="A9" s="98" t="s">
        <v>55</v>
      </c>
      <c r="B9" s="260">
        <v>37055</v>
      </c>
      <c r="C9" s="260">
        <v>37055</v>
      </c>
      <c r="D9" s="260">
        <v>37055</v>
      </c>
      <c r="E9" s="569">
        <v>0</v>
      </c>
      <c r="F9" s="569">
        <v>0</v>
      </c>
      <c r="G9" s="569">
        <v>0</v>
      </c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</row>
    <row r="10" spans="1:24" ht="15.75" customHeight="1">
      <c r="A10" s="98" t="s">
        <v>64</v>
      </c>
      <c r="B10" s="260">
        <v>160107</v>
      </c>
      <c r="C10" s="260">
        <v>160107</v>
      </c>
      <c r="D10" s="260">
        <v>160107</v>
      </c>
      <c r="E10" s="565">
        <v>0</v>
      </c>
      <c r="F10" s="565">
        <v>0</v>
      </c>
      <c r="G10" s="565">
        <v>0</v>
      </c>
    </row>
    <row r="11" spans="1:24" ht="15.75" customHeight="1">
      <c r="A11" s="98" t="s">
        <v>67</v>
      </c>
      <c r="B11" s="260">
        <v>66235</v>
      </c>
      <c r="C11" s="260">
        <v>66235</v>
      </c>
      <c r="D11" s="260">
        <v>66235</v>
      </c>
      <c r="E11" s="565">
        <v>0</v>
      </c>
      <c r="F11" s="565">
        <v>0</v>
      </c>
      <c r="G11" s="565">
        <v>0</v>
      </c>
    </row>
    <row r="12" spans="1:24" ht="15.75" customHeight="1">
      <c r="A12" s="264" t="s">
        <v>251</v>
      </c>
      <c r="B12" s="260">
        <v>44311</v>
      </c>
      <c r="C12" s="260">
        <v>44311</v>
      </c>
      <c r="D12" s="260">
        <f>11078+33233</f>
        <v>44311</v>
      </c>
      <c r="E12" s="565">
        <v>0</v>
      </c>
      <c r="F12" s="565">
        <v>0</v>
      </c>
      <c r="G12" s="565">
        <v>0</v>
      </c>
    </row>
    <row r="13" spans="1:24" ht="15.75" customHeight="1">
      <c r="A13" s="98" t="s">
        <v>192</v>
      </c>
      <c r="B13" s="260">
        <v>63919</v>
      </c>
      <c r="C13" s="260">
        <v>63919</v>
      </c>
      <c r="D13" s="260">
        <v>63919</v>
      </c>
      <c r="E13" s="565">
        <v>0</v>
      </c>
      <c r="F13" s="565">
        <v>0</v>
      </c>
      <c r="G13" s="565">
        <v>0</v>
      </c>
    </row>
    <row r="14" spans="1:24" ht="15.75" customHeight="1">
      <c r="A14" s="98" t="s">
        <v>70</v>
      </c>
      <c r="B14" s="260">
        <v>359430</v>
      </c>
      <c r="C14" s="260">
        <v>359430</v>
      </c>
      <c r="D14" s="260">
        <v>359430</v>
      </c>
      <c r="E14" s="565">
        <v>0</v>
      </c>
      <c r="F14" s="565">
        <v>0</v>
      </c>
      <c r="G14" s="565">
        <v>0</v>
      </c>
    </row>
    <row r="15" spans="1:24" ht="15.75" customHeight="1">
      <c r="A15" s="98" t="s">
        <v>62</v>
      </c>
      <c r="B15" s="260">
        <v>115950</v>
      </c>
      <c r="C15" s="260">
        <v>115950</v>
      </c>
      <c r="D15" s="260">
        <v>115950</v>
      </c>
      <c r="E15" s="565">
        <v>0</v>
      </c>
      <c r="F15" s="565">
        <v>0</v>
      </c>
      <c r="G15" s="565">
        <v>0</v>
      </c>
    </row>
    <row r="16" spans="1:24" ht="15.75" customHeight="1">
      <c r="A16" s="98" t="s">
        <v>59</v>
      </c>
      <c r="B16" s="260">
        <v>51413</v>
      </c>
      <c r="C16" s="260">
        <v>51413</v>
      </c>
      <c r="D16" s="260">
        <v>51413</v>
      </c>
      <c r="E16" s="565">
        <v>0</v>
      </c>
      <c r="F16" s="565">
        <v>0</v>
      </c>
      <c r="G16" s="565">
        <v>0</v>
      </c>
    </row>
    <row r="17" spans="1:24" ht="15.75" customHeight="1">
      <c r="A17" s="98" t="s">
        <v>72</v>
      </c>
      <c r="B17" s="260">
        <v>21615</v>
      </c>
      <c r="C17" s="260">
        <v>21615</v>
      </c>
      <c r="D17" s="260">
        <v>21615</v>
      </c>
      <c r="E17" s="565">
        <v>0</v>
      </c>
      <c r="F17" s="565">
        <v>0</v>
      </c>
      <c r="G17" s="565">
        <v>0</v>
      </c>
    </row>
    <row r="18" spans="1:24" ht="15.75" customHeight="1">
      <c r="A18" s="98" t="s">
        <v>61</v>
      </c>
      <c r="B18" s="260">
        <v>33812</v>
      </c>
      <c r="C18" s="260">
        <v>33812</v>
      </c>
      <c r="D18" s="260">
        <v>33812</v>
      </c>
      <c r="E18" s="565">
        <v>0</v>
      </c>
      <c r="F18" s="565">
        <v>0</v>
      </c>
      <c r="G18" s="565">
        <v>0</v>
      </c>
    </row>
    <row r="19" spans="1:24" ht="15.75" customHeight="1">
      <c r="A19" s="98" t="s">
        <v>66</v>
      </c>
      <c r="B19" s="260">
        <v>190986</v>
      </c>
      <c r="C19" s="260">
        <v>190986</v>
      </c>
      <c r="D19" s="260">
        <v>190986</v>
      </c>
      <c r="E19" s="565">
        <v>0</v>
      </c>
      <c r="F19" s="565">
        <v>0</v>
      </c>
      <c r="G19" s="565">
        <v>0</v>
      </c>
    </row>
    <row r="20" spans="1:24" ht="15.75" customHeight="1">
      <c r="A20" s="98" t="s">
        <v>56</v>
      </c>
      <c r="B20" s="260">
        <v>115487</v>
      </c>
      <c r="C20" s="260">
        <v>115487</v>
      </c>
      <c r="D20" s="260">
        <v>115487</v>
      </c>
      <c r="E20" s="565">
        <v>0</v>
      </c>
      <c r="F20" s="565">
        <v>0</v>
      </c>
      <c r="G20" s="565">
        <v>0</v>
      </c>
    </row>
    <row r="21" spans="1:24" ht="15.75" customHeight="1">
      <c r="A21" s="98" t="s">
        <v>71</v>
      </c>
      <c r="B21" s="260">
        <v>19608</v>
      </c>
      <c r="C21" s="260">
        <v>19608</v>
      </c>
      <c r="D21" s="260">
        <v>19608</v>
      </c>
      <c r="E21" s="565">
        <v>0</v>
      </c>
      <c r="F21" s="565">
        <v>0</v>
      </c>
      <c r="G21" s="565">
        <v>0</v>
      </c>
    </row>
    <row r="22" spans="1:24" ht="15.75" customHeight="1">
      <c r="A22" s="98" t="s">
        <v>57</v>
      </c>
      <c r="B22" s="260">
        <v>23777</v>
      </c>
      <c r="C22" s="260">
        <v>23777</v>
      </c>
      <c r="D22" s="260">
        <v>23777</v>
      </c>
      <c r="E22" s="565">
        <v>0</v>
      </c>
      <c r="F22" s="565">
        <v>0</v>
      </c>
      <c r="G22" s="565">
        <v>0</v>
      </c>
    </row>
    <row r="23" spans="1:24" ht="15.75" customHeight="1">
      <c r="A23" s="98" t="s">
        <v>69</v>
      </c>
      <c r="B23" s="260">
        <v>7257</v>
      </c>
      <c r="C23" s="260">
        <v>7257</v>
      </c>
      <c r="D23" s="260">
        <v>7257</v>
      </c>
      <c r="E23" s="565">
        <v>0</v>
      </c>
      <c r="F23" s="565">
        <v>0</v>
      </c>
      <c r="G23" s="565">
        <v>0</v>
      </c>
    </row>
    <row r="24" spans="1:24" ht="15.75" customHeight="1">
      <c r="A24" s="98" t="s">
        <v>68</v>
      </c>
      <c r="B24" s="260">
        <v>49406</v>
      </c>
      <c r="C24" s="260">
        <v>49406</v>
      </c>
      <c r="D24" s="260">
        <v>49406</v>
      </c>
      <c r="E24" s="565">
        <v>0</v>
      </c>
      <c r="F24" s="565">
        <v>0</v>
      </c>
      <c r="G24" s="565">
        <v>0</v>
      </c>
    </row>
    <row r="25" spans="1:24" ht="15.75" customHeight="1">
      <c r="A25" s="261" t="s">
        <v>249</v>
      </c>
      <c r="B25" s="260">
        <v>110855</v>
      </c>
      <c r="C25" s="260">
        <v>110855</v>
      </c>
      <c r="D25" s="260">
        <v>110855</v>
      </c>
      <c r="E25" s="565">
        <v>0</v>
      </c>
      <c r="F25" s="565">
        <v>0</v>
      </c>
      <c r="G25" s="565">
        <v>0</v>
      </c>
    </row>
    <row r="26" spans="1:24" s="158" customFormat="1" ht="15.75" customHeight="1">
      <c r="A26" s="98" t="s">
        <v>60</v>
      </c>
      <c r="B26" s="260">
        <v>3799335</v>
      </c>
      <c r="C26" s="260">
        <v>3799335</v>
      </c>
      <c r="D26" s="260">
        <v>3799335</v>
      </c>
      <c r="E26" s="569">
        <v>0</v>
      </c>
      <c r="F26" s="569">
        <v>0</v>
      </c>
      <c r="G26" s="569">
        <v>0</v>
      </c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</row>
    <row r="27" spans="1:24" s="133" customFormat="1" ht="15.75" customHeight="1">
      <c r="A27" s="98" t="s">
        <v>65</v>
      </c>
      <c r="B27" s="260">
        <v>122435</v>
      </c>
      <c r="C27" s="260">
        <v>122435</v>
      </c>
      <c r="D27" s="260">
        <v>122435</v>
      </c>
      <c r="E27" s="565">
        <v>0</v>
      </c>
      <c r="F27" s="565">
        <v>0</v>
      </c>
      <c r="G27" s="565">
        <v>0</v>
      </c>
    </row>
    <row r="28" spans="1:24" s="133" customFormat="1" ht="15.75" customHeight="1">
      <c r="A28" s="500" t="s">
        <v>963</v>
      </c>
      <c r="B28" s="260">
        <v>475843</v>
      </c>
      <c r="C28" s="260">
        <v>475843</v>
      </c>
      <c r="D28" s="260">
        <v>475843</v>
      </c>
      <c r="E28" s="565">
        <v>0</v>
      </c>
      <c r="F28" s="565">
        <v>0</v>
      </c>
      <c r="G28" s="565">
        <v>0</v>
      </c>
    </row>
    <row r="29" spans="1:24" s="133" customFormat="1" ht="15.75">
      <c r="A29" s="199" t="s">
        <v>126</v>
      </c>
      <c r="B29" s="200">
        <f>SUM(B7:B28)</f>
        <v>6500000</v>
      </c>
      <c r="C29" s="200">
        <f t="shared" ref="C29:D29" si="0">SUM(C7:C28)</f>
        <v>6500000</v>
      </c>
      <c r="D29" s="200">
        <f t="shared" si="0"/>
        <v>6500000</v>
      </c>
      <c r="E29" s="238">
        <f>SUM(E7:E28)</f>
        <v>0</v>
      </c>
      <c r="F29" s="238">
        <f t="shared" ref="F29:G29" si="1">SUM(F7:F28)</f>
        <v>0</v>
      </c>
      <c r="G29" s="238">
        <f t="shared" si="1"/>
        <v>0</v>
      </c>
    </row>
    <row r="30" spans="1:24" s="133" customFormat="1" ht="7.5" customHeight="1">
      <c r="D30" s="152"/>
      <c r="E30" s="151"/>
      <c r="F30" s="151"/>
      <c r="G30" s="151"/>
    </row>
    <row r="31" spans="1:24" s="133" customFormat="1">
      <c r="A31" s="579" t="s">
        <v>1091</v>
      </c>
      <c r="B31" s="565">
        <v>240507</v>
      </c>
      <c r="C31" s="565">
        <v>240507</v>
      </c>
      <c r="D31" s="580">
        <v>240507</v>
      </c>
      <c r="E31" s="565">
        <v>92917</v>
      </c>
      <c r="F31" s="565">
        <v>92917</v>
      </c>
      <c r="G31" s="580">
        <v>92917</v>
      </c>
    </row>
    <row r="32" spans="1:24" s="133" customFormat="1" ht="15.75">
      <c r="A32" s="199" t="s">
        <v>73</v>
      </c>
      <c r="B32" s="200">
        <f t="shared" ref="B32:G32" si="2">SUM(B29,B31)</f>
        <v>6740507</v>
      </c>
      <c r="C32" s="200">
        <f t="shared" si="2"/>
        <v>6740507</v>
      </c>
      <c r="D32" s="200">
        <f t="shared" si="2"/>
        <v>6740507</v>
      </c>
      <c r="E32" s="200">
        <f t="shared" si="2"/>
        <v>92917</v>
      </c>
      <c r="F32" s="200">
        <f t="shared" si="2"/>
        <v>92917</v>
      </c>
      <c r="G32" s="200">
        <f t="shared" si="2"/>
        <v>92917</v>
      </c>
    </row>
    <row r="33" spans="1:4">
      <c r="A33" s="133"/>
      <c r="B33" s="133"/>
      <c r="C33" s="133"/>
      <c r="D33" s="152"/>
    </row>
    <row r="34" spans="1:4">
      <c r="A34" s="133"/>
      <c r="B34" s="133"/>
      <c r="C34" s="133"/>
      <c r="D34" s="152"/>
    </row>
    <row r="35" spans="1:4">
      <c r="A35" s="133"/>
      <c r="B35" s="133"/>
      <c r="C35" s="133"/>
      <c r="D35" s="152"/>
    </row>
    <row r="36" spans="1:4">
      <c r="A36" s="133"/>
      <c r="B36" s="133"/>
      <c r="C36" s="133"/>
      <c r="D36" s="152"/>
    </row>
    <row r="37" spans="1:4">
      <c r="A37" s="133"/>
      <c r="B37" s="133"/>
      <c r="C37" s="133"/>
      <c r="D37" s="152"/>
    </row>
    <row r="38" spans="1:4">
      <c r="A38" s="133"/>
      <c r="B38" s="133"/>
      <c r="C38" s="133"/>
      <c r="D38" s="152"/>
    </row>
    <row r="39" spans="1:4">
      <c r="A39" s="133"/>
      <c r="B39" s="133"/>
      <c r="C39" s="133"/>
      <c r="D39" s="152"/>
    </row>
    <row r="40" spans="1:4">
      <c r="A40" s="133"/>
      <c r="B40" s="133"/>
      <c r="C40" s="133"/>
      <c r="D40" s="152"/>
    </row>
    <row r="41" spans="1:4">
      <c r="A41" s="133"/>
      <c r="B41" s="133"/>
      <c r="C41" s="133"/>
      <c r="D41" s="152"/>
    </row>
    <row r="42" spans="1:4">
      <c r="A42" s="133"/>
      <c r="B42" s="133"/>
      <c r="C42" s="133"/>
      <c r="D42" s="152"/>
    </row>
    <row r="43" spans="1:4">
      <c r="A43" s="133"/>
      <c r="B43" s="133"/>
      <c r="C43" s="133"/>
      <c r="D43" s="152"/>
    </row>
    <row r="44" spans="1:4">
      <c r="A44" s="133"/>
      <c r="B44" s="133"/>
      <c r="C44" s="133"/>
      <c r="D44" s="152"/>
    </row>
    <row r="45" spans="1:4">
      <c r="A45" s="133"/>
      <c r="B45" s="133"/>
      <c r="C45" s="133"/>
      <c r="D45" s="152"/>
    </row>
    <row r="46" spans="1:4">
      <c r="A46" s="133"/>
      <c r="B46" s="133"/>
      <c r="C46" s="133"/>
      <c r="D46" s="152"/>
    </row>
    <row r="47" spans="1:4">
      <c r="A47" s="133"/>
      <c r="B47" s="133"/>
      <c r="C47" s="133"/>
      <c r="D47" s="152"/>
    </row>
    <row r="48" spans="1:4">
      <c r="A48" s="133"/>
      <c r="B48" s="133"/>
      <c r="C48" s="133"/>
      <c r="D48" s="152"/>
    </row>
    <row r="49" spans="1:4">
      <c r="A49" s="133"/>
      <c r="B49" s="133"/>
      <c r="C49" s="133"/>
      <c r="D49" s="152"/>
    </row>
    <row r="50" spans="1:4">
      <c r="A50" s="133"/>
      <c r="B50" s="133"/>
      <c r="C50" s="133"/>
      <c r="D50" s="152"/>
    </row>
    <row r="51" spans="1:4">
      <c r="A51" s="133"/>
      <c r="B51" s="133"/>
      <c r="C51" s="133"/>
      <c r="D51" s="152"/>
    </row>
    <row r="52" spans="1:4">
      <c r="A52" s="133"/>
      <c r="B52" s="133"/>
      <c r="C52" s="133"/>
      <c r="D52" s="152"/>
    </row>
    <row r="53" spans="1:4">
      <c r="A53" s="133"/>
      <c r="B53" s="133"/>
      <c r="C53" s="133"/>
      <c r="D53" s="152"/>
    </row>
    <row r="54" spans="1:4">
      <c r="A54" s="133"/>
      <c r="B54" s="133"/>
      <c r="C54" s="133"/>
      <c r="D54" s="152"/>
    </row>
    <row r="55" spans="1:4">
      <c r="A55" s="133"/>
      <c r="B55" s="133"/>
      <c r="C55" s="133"/>
      <c r="D55" s="152"/>
    </row>
    <row r="56" spans="1:4">
      <c r="A56" s="133"/>
      <c r="B56" s="133"/>
      <c r="C56" s="133"/>
      <c r="D56" s="152"/>
    </row>
    <row r="57" spans="1:4">
      <c r="A57" s="133"/>
      <c r="B57" s="133"/>
      <c r="C57" s="133"/>
      <c r="D57" s="152"/>
    </row>
  </sheetData>
  <mergeCells count="6">
    <mergeCell ref="A5:A6"/>
    <mergeCell ref="B5:D5"/>
    <mergeCell ref="E5:G5"/>
    <mergeCell ref="A4:G4"/>
    <mergeCell ref="A1:G1"/>
    <mergeCell ref="A2:G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0" orientation="landscape" r:id="rId1"/>
  <headerFooter alignWithMargins="0">
    <oddHeader>&amp;R&amp;"Times New Roman,Normál"&amp;11 10/i. sz. melléklet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28">
    <tabColor theme="4" tint="0.59999389629810485"/>
  </sheetPr>
  <dimension ref="A1:AC50"/>
  <sheetViews>
    <sheetView zoomScaleNormal="100" workbookViewId="0">
      <selection activeCell="F24" sqref="F24"/>
    </sheetView>
  </sheetViews>
  <sheetFormatPr defaultColWidth="9.140625" defaultRowHeight="12.75"/>
  <cols>
    <col min="1" max="1" width="30" style="96" customWidth="1"/>
    <col min="2" max="2" width="14.42578125" style="96" customWidth="1"/>
    <col min="3" max="3" width="16.42578125" style="96" customWidth="1"/>
    <col min="4" max="4" width="15" style="153" customWidth="1"/>
    <col min="5" max="29" width="9.140625" style="133"/>
    <col min="30" max="16384" width="9.140625" style="96"/>
  </cols>
  <sheetData>
    <row r="1" spans="1:29">
      <c r="A1" s="873" t="s">
        <v>1041</v>
      </c>
      <c r="B1" s="873"/>
      <c r="C1" s="873"/>
      <c r="D1" s="873"/>
    </row>
    <row r="2" spans="1:29" ht="12.75" customHeight="1">
      <c r="A2" s="878" t="s">
        <v>1083</v>
      </c>
      <c r="B2" s="878"/>
      <c r="C2" s="878"/>
      <c r="D2" s="878"/>
    </row>
    <row r="3" spans="1:29" ht="20.25" customHeight="1">
      <c r="A3" s="878"/>
      <c r="B3" s="878"/>
      <c r="C3" s="878"/>
      <c r="D3" s="878"/>
    </row>
    <row r="4" spans="1:29" s="100" customFormat="1">
      <c r="A4" s="886"/>
      <c r="B4" s="887"/>
      <c r="C4" s="887"/>
      <c r="D4" s="887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</row>
    <row r="5" spans="1:29" s="150" customFormat="1" ht="20.25" customHeight="1">
      <c r="A5" s="259"/>
      <c r="B5" s="258"/>
      <c r="C5" s="258"/>
      <c r="D5" s="263"/>
    </row>
    <row r="6" spans="1:29" s="21" customFormat="1" ht="21.75" customHeight="1">
      <c r="A6" s="880" t="s">
        <v>238</v>
      </c>
      <c r="B6" s="881"/>
      <c r="C6" s="881"/>
      <c r="D6" s="881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</row>
    <row r="7" spans="1:29" s="20" customFormat="1" ht="28.5" customHeight="1">
      <c r="A7" s="138" t="s">
        <v>116</v>
      </c>
      <c r="B7" s="55" t="s">
        <v>117</v>
      </c>
      <c r="C7" s="55" t="s">
        <v>118</v>
      </c>
      <c r="D7" s="55" t="s">
        <v>138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1:29" ht="15.75" customHeight="1">
      <c r="A8" s="98" t="s">
        <v>58</v>
      </c>
      <c r="B8" s="260">
        <v>3256912</v>
      </c>
      <c r="C8" s="260">
        <v>3256912</v>
      </c>
      <c r="D8" s="260">
        <v>3256912</v>
      </c>
    </row>
    <row r="9" spans="1:29" ht="15.75" customHeight="1">
      <c r="A9" s="98" t="s">
        <v>63</v>
      </c>
      <c r="B9" s="260">
        <v>601174</v>
      </c>
      <c r="C9" s="260">
        <v>601174</v>
      </c>
      <c r="D9" s="260">
        <v>601174</v>
      </c>
    </row>
    <row r="10" spans="1:29" s="21" customFormat="1" ht="15.75" customHeight="1">
      <c r="A10" s="98" t="s">
        <v>55</v>
      </c>
      <c r="B10" s="260">
        <v>226502</v>
      </c>
      <c r="C10" s="260">
        <v>226502</v>
      </c>
      <c r="D10" s="260">
        <v>226502</v>
      </c>
      <c r="E10" s="59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</row>
    <row r="11" spans="1:29" ht="15.75" customHeight="1">
      <c r="A11" s="98" t="s">
        <v>64</v>
      </c>
      <c r="B11" s="260">
        <v>978678</v>
      </c>
      <c r="C11" s="260">
        <v>978678</v>
      </c>
      <c r="D11" s="260">
        <v>978678</v>
      </c>
      <c r="E11" s="151"/>
    </row>
    <row r="12" spans="1:29" ht="15.75" customHeight="1">
      <c r="A12" s="98" t="s">
        <v>67</v>
      </c>
      <c r="B12" s="260">
        <v>404873</v>
      </c>
      <c r="C12" s="260">
        <v>404873</v>
      </c>
      <c r="D12" s="260">
        <v>404873</v>
      </c>
    </row>
    <row r="13" spans="1:29" ht="15.75" customHeight="1">
      <c r="A13" s="98" t="s">
        <v>192</v>
      </c>
      <c r="B13" s="260">
        <v>390716</v>
      </c>
      <c r="C13" s="260">
        <v>390716</v>
      </c>
      <c r="D13" s="260">
        <v>390716</v>
      </c>
    </row>
    <row r="14" spans="1:29" ht="15.75" customHeight="1">
      <c r="A14" s="98" t="s">
        <v>70</v>
      </c>
      <c r="B14" s="260">
        <v>2197071</v>
      </c>
      <c r="C14" s="260">
        <v>2197071</v>
      </c>
      <c r="D14" s="260">
        <v>2197071</v>
      </c>
    </row>
    <row r="15" spans="1:29" ht="15.75" customHeight="1">
      <c r="A15" s="98" t="s">
        <v>62</v>
      </c>
      <c r="B15" s="260">
        <v>708763</v>
      </c>
      <c r="C15" s="260">
        <v>708763</v>
      </c>
      <c r="D15" s="260">
        <v>708763</v>
      </c>
    </row>
    <row r="16" spans="1:29" ht="15.75" customHeight="1">
      <c r="A16" s="98" t="s">
        <v>59</v>
      </c>
      <c r="B16" s="260">
        <v>314272</v>
      </c>
      <c r="C16" s="260">
        <v>314272</v>
      </c>
      <c r="D16" s="260">
        <v>314272</v>
      </c>
    </row>
    <row r="17" spans="1:29" ht="15.75" customHeight="1">
      <c r="A17" s="98" t="s">
        <v>72</v>
      </c>
      <c r="B17" s="260">
        <v>132126</v>
      </c>
      <c r="C17" s="260">
        <v>132126</v>
      </c>
      <c r="D17" s="260">
        <v>132126</v>
      </c>
    </row>
    <row r="18" spans="1:29" ht="15.75" customHeight="1">
      <c r="A18" s="98" t="s">
        <v>61</v>
      </c>
      <c r="B18" s="260">
        <v>206683</v>
      </c>
      <c r="C18" s="260">
        <v>206683</v>
      </c>
      <c r="D18" s="260">
        <v>206683</v>
      </c>
    </row>
    <row r="19" spans="1:29" ht="15.75" customHeight="1">
      <c r="A19" s="98" t="s">
        <v>68</v>
      </c>
      <c r="B19" s="260">
        <v>302003</v>
      </c>
      <c r="C19" s="260">
        <v>302003</v>
      </c>
      <c r="D19" s="260">
        <v>302003</v>
      </c>
    </row>
    <row r="20" spans="1:29" s="158" customFormat="1" ht="15.75" customHeight="1">
      <c r="A20" s="98" t="s">
        <v>60</v>
      </c>
      <c r="B20" s="260">
        <v>23224022</v>
      </c>
      <c r="C20" s="260">
        <v>23224022</v>
      </c>
      <c r="D20" s="260">
        <v>23224022</v>
      </c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</row>
    <row r="21" spans="1:29" s="133" customFormat="1" ht="14.25" customHeight="1">
      <c r="A21" s="98" t="s">
        <v>65</v>
      </c>
      <c r="B21" s="260">
        <v>748401</v>
      </c>
      <c r="C21" s="260">
        <v>748401</v>
      </c>
      <c r="D21" s="260">
        <v>748401</v>
      </c>
    </row>
    <row r="22" spans="1:29" s="133" customFormat="1" ht="15.75">
      <c r="A22" s="199" t="s">
        <v>126</v>
      </c>
      <c r="B22" s="200">
        <f>SUM(B8:B21)</f>
        <v>33692196</v>
      </c>
      <c r="C22" s="200">
        <f>SUM(C8:C21)</f>
        <v>33692196</v>
      </c>
      <c r="D22" s="200">
        <f>SUM(D8:D21)</f>
        <v>33692196</v>
      </c>
    </row>
    <row r="23" spans="1:29" s="133" customFormat="1" ht="6" customHeight="1">
      <c r="D23" s="152"/>
    </row>
    <row r="24" spans="1:29" s="133" customFormat="1">
      <c r="A24" s="579" t="s">
        <v>1091</v>
      </c>
      <c r="B24" s="565">
        <v>870347</v>
      </c>
      <c r="C24" s="565">
        <v>870347</v>
      </c>
      <c r="D24" s="580">
        <v>870347</v>
      </c>
    </row>
    <row r="25" spans="1:29" s="133" customFormat="1" ht="15.75">
      <c r="A25" s="199" t="s">
        <v>73</v>
      </c>
      <c r="B25" s="200">
        <f>SUM(B22,B24)</f>
        <v>34562543</v>
      </c>
      <c r="C25" s="200">
        <f>SUM(C22,C24)</f>
        <v>34562543</v>
      </c>
      <c r="D25" s="200">
        <f>SUM(D22,D24)</f>
        <v>34562543</v>
      </c>
    </row>
    <row r="26" spans="1:29">
      <c r="A26" s="133"/>
      <c r="B26" s="133"/>
      <c r="C26" s="133"/>
      <c r="D26" s="152"/>
    </row>
    <row r="27" spans="1:29">
      <c r="A27" s="133"/>
      <c r="B27" s="133"/>
      <c r="C27" s="133"/>
      <c r="D27" s="152"/>
    </row>
    <row r="28" spans="1:29">
      <c r="A28" s="133"/>
      <c r="B28" s="133"/>
      <c r="C28" s="133"/>
      <c r="D28" s="152"/>
    </row>
    <row r="29" spans="1:29">
      <c r="A29" s="133"/>
      <c r="B29" s="133"/>
      <c r="C29" s="133"/>
      <c r="D29" s="152"/>
    </row>
    <row r="30" spans="1:29">
      <c r="A30" s="133"/>
      <c r="B30" s="133"/>
      <c r="C30" s="133"/>
      <c r="D30" s="152"/>
    </row>
    <row r="31" spans="1:29">
      <c r="A31" s="133"/>
      <c r="B31" s="133"/>
      <c r="C31" s="133"/>
      <c r="D31" s="152"/>
    </row>
    <row r="32" spans="1:29">
      <c r="A32" s="133"/>
      <c r="B32" s="133"/>
      <c r="C32" s="133"/>
      <c r="D32" s="152"/>
    </row>
    <row r="33" spans="1:4">
      <c r="A33" s="133"/>
      <c r="B33" s="133"/>
      <c r="C33" s="133"/>
      <c r="D33" s="152"/>
    </row>
    <row r="34" spans="1:4">
      <c r="A34" s="133"/>
      <c r="B34" s="133"/>
      <c r="C34" s="133"/>
      <c r="D34" s="152"/>
    </row>
    <row r="35" spans="1:4">
      <c r="A35" s="133"/>
      <c r="B35" s="133"/>
      <c r="C35" s="133"/>
      <c r="D35" s="152"/>
    </row>
    <row r="36" spans="1:4">
      <c r="A36" s="133"/>
      <c r="B36" s="133"/>
      <c r="C36" s="133"/>
      <c r="D36" s="152"/>
    </row>
    <row r="37" spans="1:4">
      <c r="A37" s="133"/>
      <c r="B37" s="133"/>
      <c r="C37" s="133"/>
      <c r="D37" s="152"/>
    </row>
    <row r="38" spans="1:4">
      <c r="A38" s="133"/>
      <c r="B38" s="133"/>
      <c r="C38" s="133"/>
      <c r="D38" s="152"/>
    </row>
    <row r="39" spans="1:4">
      <c r="A39" s="133"/>
      <c r="B39" s="133"/>
      <c r="C39" s="133"/>
      <c r="D39" s="152"/>
    </row>
    <row r="40" spans="1:4">
      <c r="A40" s="133"/>
      <c r="B40" s="133"/>
      <c r="C40" s="133"/>
      <c r="D40" s="152"/>
    </row>
    <row r="41" spans="1:4">
      <c r="A41" s="133"/>
      <c r="B41" s="133"/>
      <c r="C41" s="133"/>
      <c r="D41" s="152"/>
    </row>
    <row r="42" spans="1:4">
      <c r="A42" s="133"/>
      <c r="B42" s="133"/>
      <c r="C42" s="133"/>
      <c r="D42" s="152"/>
    </row>
    <row r="43" spans="1:4">
      <c r="A43" s="133"/>
      <c r="B43" s="133"/>
      <c r="C43" s="133"/>
      <c r="D43" s="152"/>
    </row>
    <row r="44" spans="1:4">
      <c r="A44" s="133"/>
      <c r="B44" s="133"/>
      <c r="C44" s="133"/>
      <c r="D44" s="152"/>
    </row>
    <row r="45" spans="1:4">
      <c r="A45" s="133"/>
      <c r="B45" s="133"/>
      <c r="C45" s="133"/>
      <c r="D45" s="152"/>
    </row>
    <row r="46" spans="1:4">
      <c r="A46" s="133"/>
      <c r="B46" s="133"/>
      <c r="C46" s="133"/>
      <c r="D46" s="152"/>
    </row>
    <row r="47" spans="1:4">
      <c r="A47" s="133"/>
      <c r="B47" s="133"/>
      <c r="C47" s="133"/>
      <c r="D47" s="152"/>
    </row>
    <row r="48" spans="1:4">
      <c r="A48" s="133"/>
      <c r="B48" s="133"/>
      <c r="C48" s="133"/>
      <c r="D48" s="152"/>
    </row>
    <row r="49" spans="1:4">
      <c r="A49" s="133"/>
      <c r="B49" s="133"/>
      <c r="C49" s="133"/>
      <c r="D49" s="152"/>
    </row>
    <row r="50" spans="1:4">
      <c r="A50" s="133"/>
      <c r="B50" s="133"/>
      <c r="C50" s="133"/>
      <c r="D50" s="152"/>
    </row>
  </sheetData>
  <mergeCells count="4">
    <mergeCell ref="A1:D1"/>
    <mergeCell ref="A2:D3"/>
    <mergeCell ref="A4:D4"/>
    <mergeCell ref="A6:D6"/>
  </mergeCells>
  <pageMargins left="0.7" right="0.7" top="0.75" bottom="0.75" header="0.3" footer="0.3"/>
  <pageSetup paperSize="9" orientation="portrait" r:id="rId1"/>
  <headerFooter>
    <oddHeader>&amp;R10/j. sz. melléklet</oddHeader>
  </headerFooter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>
    <tabColor theme="4" tint="0.39997558519241921"/>
  </sheetPr>
  <dimension ref="A1:AD23"/>
  <sheetViews>
    <sheetView zoomScaleNormal="100" workbookViewId="0">
      <selection activeCell="C7" sqref="C7"/>
    </sheetView>
  </sheetViews>
  <sheetFormatPr defaultRowHeight="12.75"/>
  <cols>
    <col min="1" max="1" width="9.42578125" style="1" bestFit="1" customWidth="1"/>
    <col min="2" max="2" width="80.42578125" bestFit="1" customWidth="1"/>
    <col min="3" max="3" width="32.140625" customWidth="1"/>
    <col min="4" max="4" width="16" bestFit="1" customWidth="1"/>
    <col min="5" max="6" width="14.7109375" customWidth="1"/>
    <col min="7" max="7" width="18" customWidth="1"/>
    <col min="8" max="8" width="14.42578125" customWidth="1"/>
    <col min="9" max="9" width="10.140625" customWidth="1"/>
    <col min="10" max="10" width="10" customWidth="1"/>
    <col min="11" max="11" width="10.42578125" style="46" customWidth="1"/>
    <col min="12" max="30" width="9.140625" style="46"/>
  </cols>
  <sheetData>
    <row r="1" spans="1:30">
      <c r="A1" s="729" t="s">
        <v>1101</v>
      </c>
      <c r="B1" s="729"/>
      <c r="C1" s="729"/>
      <c r="D1" s="725"/>
      <c r="E1" s="725"/>
      <c r="F1" s="725"/>
      <c r="G1" s="309"/>
      <c r="H1" s="309"/>
      <c r="I1" s="309"/>
      <c r="J1" s="309"/>
    </row>
    <row r="2" spans="1:30">
      <c r="A2" s="729" t="s">
        <v>1148</v>
      </c>
      <c r="B2" s="729"/>
      <c r="C2" s="729"/>
      <c r="D2" s="725"/>
      <c r="E2" s="725"/>
      <c r="F2" s="725"/>
      <c r="G2" s="309"/>
      <c r="H2" s="309"/>
      <c r="I2" s="309"/>
      <c r="J2" s="309"/>
    </row>
    <row r="3" spans="1:30" ht="12.75" customHeight="1">
      <c r="A3" s="109"/>
      <c r="B3" s="46"/>
      <c r="C3" s="46"/>
      <c r="D3" s="46"/>
      <c r="E3" s="46"/>
      <c r="F3" s="46"/>
      <c r="G3" s="46"/>
      <c r="H3" s="46"/>
      <c r="I3" s="46"/>
      <c r="J3" s="46"/>
    </row>
    <row r="4" spans="1:30" ht="12.75" customHeight="1">
      <c r="A4" s="109"/>
      <c r="B4" s="46"/>
      <c r="C4" s="46"/>
      <c r="D4" s="46"/>
      <c r="E4" s="46"/>
      <c r="F4" s="46"/>
      <c r="G4" s="46"/>
      <c r="H4" s="46"/>
      <c r="I4" s="46"/>
      <c r="J4" s="46"/>
    </row>
    <row r="5" spans="1:30" s="20" customFormat="1">
      <c r="A5" s="635" t="s">
        <v>139</v>
      </c>
      <c r="B5" s="632" t="s">
        <v>134</v>
      </c>
      <c r="C5" s="632" t="s">
        <v>480</v>
      </c>
      <c r="D5" s="59"/>
      <c r="E5" s="415"/>
      <c r="F5" s="640"/>
      <c r="G5" s="640"/>
      <c r="H5" s="59"/>
      <c r="I5" s="181"/>
      <c r="J5" s="181"/>
      <c r="K5" s="181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</row>
    <row r="6" spans="1:30">
      <c r="A6" s="112" t="s">
        <v>172</v>
      </c>
      <c r="B6" s="636" t="s">
        <v>144</v>
      </c>
      <c r="C6" s="18">
        <v>34546345</v>
      </c>
      <c r="D6" s="46"/>
      <c r="E6" s="634"/>
      <c r="F6" s="638"/>
      <c r="G6" s="221"/>
      <c r="H6" s="46"/>
      <c r="I6" s="46"/>
      <c r="J6" s="46"/>
    </row>
    <row r="7" spans="1:30">
      <c r="A7" s="112" t="s">
        <v>173</v>
      </c>
      <c r="B7" s="636" t="s">
        <v>484</v>
      </c>
      <c r="C7" s="18">
        <v>982920514</v>
      </c>
      <c r="D7" s="46"/>
      <c r="E7" s="634"/>
      <c r="F7" s="638"/>
      <c r="G7" s="221"/>
      <c r="H7" s="46"/>
      <c r="I7" s="46"/>
      <c r="J7" s="46"/>
    </row>
    <row r="8" spans="1:30">
      <c r="A8" s="112" t="s">
        <v>174</v>
      </c>
      <c r="B8" s="636" t="s">
        <v>913</v>
      </c>
      <c r="C8" s="18">
        <v>0</v>
      </c>
      <c r="D8" s="46"/>
      <c r="E8" s="634"/>
      <c r="F8" s="638"/>
      <c r="G8" s="221"/>
      <c r="H8" s="46"/>
      <c r="I8" s="46"/>
      <c r="J8" s="46"/>
    </row>
    <row r="9" spans="1:30">
      <c r="A9" s="112" t="s">
        <v>175</v>
      </c>
      <c r="B9" s="636" t="s">
        <v>496</v>
      </c>
      <c r="C9" s="18">
        <v>1377137</v>
      </c>
      <c r="D9" s="46"/>
      <c r="E9" s="634"/>
      <c r="F9" s="638"/>
      <c r="G9" s="221"/>
      <c r="H9" s="46"/>
      <c r="I9" s="46"/>
      <c r="J9" s="46"/>
    </row>
    <row r="10" spans="1:30">
      <c r="A10" s="112" t="s">
        <v>176</v>
      </c>
      <c r="B10" s="636" t="s">
        <v>497</v>
      </c>
      <c r="C10" s="18">
        <v>86042662</v>
      </c>
      <c r="D10" s="46"/>
      <c r="E10" s="634"/>
      <c r="F10" s="638"/>
      <c r="G10" s="221"/>
      <c r="H10" s="639"/>
      <c r="I10" s="46"/>
      <c r="J10" s="46"/>
    </row>
    <row r="11" spans="1:30">
      <c r="A11" s="496" t="s">
        <v>177</v>
      </c>
      <c r="B11" s="636" t="s">
        <v>910</v>
      </c>
      <c r="C11" s="18">
        <v>2872437</v>
      </c>
      <c r="D11" s="46"/>
      <c r="E11" s="634"/>
      <c r="F11" s="638"/>
      <c r="G11" s="221"/>
      <c r="H11" s="639"/>
      <c r="I11" s="46"/>
      <c r="J11" s="46"/>
    </row>
    <row r="12" spans="1:30" s="180" customFormat="1" ht="15.75">
      <c r="A12" s="313" t="s">
        <v>178</v>
      </c>
      <c r="B12" s="312" t="s">
        <v>183</v>
      </c>
      <c r="C12" s="172">
        <f>SUM(C6:C11)</f>
        <v>1107759095</v>
      </c>
      <c r="D12" s="179"/>
      <c r="E12" s="416"/>
      <c r="F12" s="417"/>
      <c r="G12" s="418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</row>
    <row r="13" spans="1:30">
      <c r="A13" s="112" t="s">
        <v>959</v>
      </c>
      <c r="B13" s="636" t="s">
        <v>119</v>
      </c>
      <c r="C13" s="18">
        <v>373557</v>
      </c>
      <c r="D13" s="46"/>
      <c r="E13" s="634"/>
      <c r="F13" s="638"/>
      <c r="G13" s="221"/>
      <c r="H13" s="46"/>
      <c r="I13" s="46"/>
      <c r="J13" s="46"/>
    </row>
    <row r="14" spans="1:30" s="180" customFormat="1" ht="15.75">
      <c r="A14" s="313" t="s">
        <v>473</v>
      </c>
      <c r="B14" s="312" t="s">
        <v>74</v>
      </c>
      <c r="C14" s="172">
        <f>SUM(C12:C13)</f>
        <v>1108132652</v>
      </c>
      <c r="D14" s="179"/>
      <c r="E14" s="416"/>
      <c r="F14" s="417"/>
      <c r="G14" s="418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</row>
    <row r="15" spans="1:30">
      <c r="A15" s="750"/>
      <c r="B15" s="750"/>
      <c r="C15" s="750"/>
      <c r="D15" s="46"/>
      <c r="E15" s="751"/>
      <c r="F15" s="751"/>
      <c r="G15" s="751"/>
      <c r="H15" s="46"/>
      <c r="I15" s="46"/>
      <c r="J15" s="46"/>
    </row>
    <row r="16" spans="1:30">
      <c r="A16" s="112" t="s">
        <v>538</v>
      </c>
      <c r="B16" s="636" t="s">
        <v>154</v>
      </c>
      <c r="C16" s="18">
        <v>1029966685</v>
      </c>
      <c r="D16" s="46"/>
      <c r="E16" s="634"/>
      <c r="F16" s="638"/>
      <c r="G16" s="221"/>
      <c r="H16" s="46"/>
      <c r="I16" s="46"/>
      <c r="J16" s="46"/>
    </row>
    <row r="17" spans="1:30">
      <c r="A17" s="112" t="s">
        <v>474</v>
      </c>
      <c r="B17" s="636" t="s">
        <v>162</v>
      </c>
      <c r="C17" s="18">
        <v>3172273</v>
      </c>
      <c r="D17" s="46"/>
      <c r="E17" s="634"/>
      <c r="F17" s="638"/>
      <c r="G17" s="221"/>
      <c r="H17" s="46"/>
      <c r="I17" s="46"/>
      <c r="J17" s="46"/>
    </row>
    <row r="18" spans="1:30" s="180" customFormat="1" ht="15.75">
      <c r="A18" s="313" t="s">
        <v>475</v>
      </c>
      <c r="B18" s="312" t="s">
        <v>179</v>
      </c>
      <c r="C18" s="172">
        <f>SUM(C16:C17)</f>
        <v>1033138958</v>
      </c>
      <c r="D18" s="179"/>
      <c r="E18" s="416"/>
      <c r="F18" s="417"/>
      <c r="G18" s="418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</row>
    <row r="19" spans="1:30">
      <c r="A19" s="112" t="s">
        <v>476</v>
      </c>
      <c r="B19" s="636" t="s">
        <v>120</v>
      </c>
      <c r="C19" s="18">
        <v>405044</v>
      </c>
      <c r="D19" s="46"/>
      <c r="E19" s="634"/>
      <c r="F19" s="638"/>
      <c r="G19" s="221"/>
      <c r="H19" s="46"/>
      <c r="I19" s="46"/>
      <c r="J19" s="46"/>
    </row>
    <row r="20" spans="1:30" s="180" customFormat="1" ht="15.75">
      <c r="A20" s="313" t="s">
        <v>477</v>
      </c>
      <c r="B20" s="312" t="s">
        <v>75</v>
      </c>
      <c r="C20" s="172">
        <f>SUM(C18:C19)</f>
        <v>1033544002</v>
      </c>
      <c r="D20" s="179"/>
      <c r="E20" s="416"/>
      <c r="F20" s="417"/>
      <c r="G20" s="418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179"/>
    </row>
    <row r="21" spans="1:30" s="180" customFormat="1" ht="15.75">
      <c r="A21" s="313" t="s">
        <v>914</v>
      </c>
      <c r="B21" s="312" t="s">
        <v>539</v>
      </c>
      <c r="C21" s="172">
        <f>C14-C20</f>
        <v>74588650</v>
      </c>
      <c r="D21" s="179"/>
      <c r="E21" s="416"/>
      <c r="F21" s="417"/>
      <c r="G21" s="41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</row>
    <row r="22" spans="1:30" ht="15.75">
      <c r="A22" s="313" t="s">
        <v>960</v>
      </c>
      <c r="B22" s="312" t="s">
        <v>540</v>
      </c>
      <c r="C22" s="172">
        <f>C12-C18</f>
        <v>74620137</v>
      </c>
      <c r="D22" s="46"/>
      <c r="E22" s="416"/>
      <c r="F22" s="417"/>
      <c r="G22" s="418"/>
      <c r="H22" s="46"/>
      <c r="I22" s="46"/>
      <c r="J22" s="46"/>
    </row>
    <row r="23" spans="1:30">
      <c r="A23" s="109"/>
      <c r="B23" s="46"/>
      <c r="C23" s="46"/>
      <c r="D23" s="46"/>
      <c r="E23" s="46"/>
      <c r="F23" s="46"/>
      <c r="G23" s="46"/>
      <c r="H23" s="46"/>
      <c r="I23" s="46"/>
      <c r="J23" s="46"/>
    </row>
  </sheetData>
  <mergeCells count="4">
    <mergeCell ref="A15:C15"/>
    <mergeCell ref="E15:G15"/>
    <mergeCell ref="A2:C2"/>
    <mergeCell ref="A1:C1"/>
  </mergeCells>
  <phoneticPr fontId="0" type="noConversion"/>
  <printOptions horizontalCentered="1"/>
  <pageMargins left="0.55118110236220474" right="0.47244094488188981" top="0.62992125984251968" bottom="0.39370078740157483" header="0.35433070866141736" footer="0.23622047244094491"/>
  <pageSetup paperSize="9" scale="90" orientation="landscape" r:id="rId1"/>
  <headerFooter alignWithMargins="0">
    <oddHeader>&amp;R1/b számú melléklet</oddHeader>
  </headerFooter>
  <colBreaks count="1" manualBreakCount="1">
    <brk id="3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29">
    <tabColor theme="4" tint="0.59999389629810485"/>
  </sheetPr>
  <dimension ref="A1:Y43"/>
  <sheetViews>
    <sheetView workbookViewId="0">
      <selection activeCell="D10" sqref="D10"/>
    </sheetView>
  </sheetViews>
  <sheetFormatPr defaultColWidth="9.140625" defaultRowHeight="12.75"/>
  <cols>
    <col min="1" max="1" width="35.28515625" style="101" customWidth="1"/>
    <col min="2" max="2" width="11.28515625" style="101" customWidth="1"/>
    <col min="3" max="3" width="11.5703125" style="101" customWidth="1"/>
    <col min="4" max="4" width="14" style="101" customWidth="1"/>
    <col min="5" max="7" width="11.28515625" style="155" customWidth="1"/>
    <col min="8" max="25" width="9.140625" style="155"/>
    <col min="26" max="16384" width="9.140625" style="101"/>
  </cols>
  <sheetData>
    <row r="1" spans="1:7">
      <c r="A1" s="888" t="s">
        <v>1041</v>
      </c>
      <c r="B1" s="888"/>
      <c r="C1" s="888"/>
      <c r="D1" s="888"/>
      <c r="E1" s="888"/>
      <c r="F1" s="888"/>
      <c r="G1" s="888"/>
    </row>
    <row r="2" spans="1:7" ht="12.75" customHeight="1">
      <c r="A2" s="889" t="s">
        <v>1080</v>
      </c>
      <c r="B2" s="889"/>
      <c r="C2" s="889"/>
      <c r="D2" s="889"/>
      <c r="E2" s="889"/>
      <c r="F2" s="889"/>
      <c r="G2" s="889"/>
    </row>
    <row r="3" spans="1:7" ht="19.5" customHeight="1">
      <c r="A3" s="889"/>
      <c r="B3" s="889"/>
      <c r="C3" s="889"/>
      <c r="D3" s="889"/>
      <c r="E3" s="889"/>
      <c r="F3" s="889"/>
      <c r="G3" s="889"/>
    </row>
    <row r="4" spans="1:7" ht="15" customHeight="1">
      <c r="A4" s="156"/>
      <c r="B4" s="156"/>
      <c r="C4" s="156"/>
      <c r="D4" s="156"/>
    </row>
    <row r="5" spans="1:7" ht="13.5" customHeight="1">
      <c r="A5" s="157"/>
      <c r="B5" s="157"/>
      <c r="C5" s="157"/>
      <c r="D5" s="157"/>
    </row>
    <row r="6" spans="1:7" ht="13.5" customHeight="1">
      <c r="A6" s="157"/>
      <c r="B6" s="157"/>
      <c r="C6" s="157"/>
      <c r="D6" s="157"/>
    </row>
    <row r="7" spans="1:7" ht="20.25" customHeight="1">
      <c r="A7" s="877" t="s">
        <v>238</v>
      </c>
      <c r="B7" s="877"/>
      <c r="C7" s="877"/>
      <c r="D7" s="877"/>
      <c r="E7" s="877"/>
      <c r="F7" s="877"/>
      <c r="G7" s="877"/>
    </row>
    <row r="8" spans="1:7" ht="20.25" customHeight="1">
      <c r="A8" s="890" t="s">
        <v>116</v>
      </c>
      <c r="B8" s="879" t="s">
        <v>998</v>
      </c>
      <c r="C8" s="879"/>
      <c r="D8" s="879"/>
      <c r="E8" s="840" t="s">
        <v>997</v>
      </c>
      <c r="F8" s="840"/>
      <c r="G8" s="840"/>
    </row>
    <row r="9" spans="1:7" ht="25.5">
      <c r="A9" s="890"/>
      <c r="B9" s="154" t="s">
        <v>117</v>
      </c>
      <c r="C9" s="154" t="s">
        <v>118</v>
      </c>
      <c r="D9" s="154" t="s">
        <v>138</v>
      </c>
      <c r="E9" s="154" t="s">
        <v>117</v>
      </c>
      <c r="F9" s="154" t="s">
        <v>118</v>
      </c>
      <c r="G9" s="154" t="s">
        <v>138</v>
      </c>
    </row>
    <row r="10" spans="1:7" ht="19.5" customHeight="1">
      <c r="A10" s="103" t="s">
        <v>60</v>
      </c>
      <c r="B10" s="102">
        <v>13650893</v>
      </c>
      <c r="C10" s="102">
        <v>13554074</v>
      </c>
      <c r="D10" s="102">
        <v>13554074</v>
      </c>
      <c r="E10" s="567">
        <v>100000</v>
      </c>
      <c r="F10" s="567">
        <v>100000</v>
      </c>
      <c r="G10" s="567">
        <v>100000</v>
      </c>
    </row>
    <row r="11" spans="1:7">
      <c r="A11" s="155"/>
      <c r="B11" s="155"/>
      <c r="C11" s="155"/>
      <c r="D11" s="155"/>
    </row>
    <row r="12" spans="1:7">
      <c r="A12" s="155"/>
      <c r="B12" s="155"/>
      <c r="C12" s="155"/>
      <c r="D12" s="155"/>
    </row>
    <row r="13" spans="1:7">
      <c r="A13" s="155"/>
      <c r="B13" s="155"/>
      <c r="C13" s="155"/>
      <c r="D13" s="155"/>
    </row>
    <row r="14" spans="1:7">
      <c r="A14" s="155"/>
      <c r="B14" s="155"/>
      <c r="C14" s="155"/>
      <c r="D14" s="155"/>
    </row>
    <row r="15" spans="1:7">
      <c r="A15" s="155"/>
      <c r="B15" s="155"/>
      <c r="C15" s="155"/>
      <c r="D15" s="155"/>
    </row>
    <row r="16" spans="1:7">
      <c r="A16" s="155"/>
      <c r="B16" s="155"/>
      <c r="C16" s="155"/>
      <c r="D16" s="155"/>
    </row>
    <row r="17" spans="1:4">
      <c r="A17" s="155"/>
      <c r="B17" s="155"/>
      <c r="C17" s="155"/>
      <c r="D17" s="155"/>
    </row>
    <row r="18" spans="1:4">
      <c r="A18" s="155"/>
      <c r="B18" s="155"/>
      <c r="C18" s="155"/>
      <c r="D18" s="155"/>
    </row>
    <row r="19" spans="1:4">
      <c r="A19" s="155"/>
      <c r="B19" s="155"/>
      <c r="C19" s="155"/>
      <c r="D19" s="155"/>
    </row>
    <row r="20" spans="1:4">
      <c r="A20" s="155"/>
      <c r="B20" s="155"/>
      <c r="C20" s="155"/>
      <c r="D20" s="155"/>
    </row>
    <row r="21" spans="1:4">
      <c r="A21" s="155"/>
      <c r="B21" s="155"/>
      <c r="C21" s="155"/>
      <c r="D21" s="155"/>
    </row>
    <row r="22" spans="1:4">
      <c r="A22" s="155"/>
      <c r="B22" s="155"/>
      <c r="C22" s="155"/>
      <c r="D22" s="155"/>
    </row>
    <row r="23" spans="1:4">
      <c r="A23" s="155"/>
      <c r="B23" s="155"/>
      <c r="C23" s="155"/>
      <c r="D23" s="155"/>
    </row>
    <row r="24" spans="1:4">
      <c r="A24" s="155"/>
      <c r="B24" s="155"/>
      <c r="C24" s="155"/>
      <c r="D24" s="155"/>
    </row>
    <row r="25" spans="1:4">
      <c r="A25" s="155"/>
      <c r="B25" s="155"/>
      <c r="C25" s="155"/>
      <c r="D25" s="155"/>
    </row>
    <row r="26" spans="1:4">
      <c r="A26" s="155"/>
      <c r="B26" s="155"/>
      <c r="C26" s="155"/>
      <c r="D26" s="155"/>
    </row>
    <row r="27" spans="1:4">
      <c r="A27" s="155"/>
      <c r="B27" s="155"/>
      <c r="C27" s="155"/>
      <c r="D27" s="155"/>
    </row>
    <row r="28" spans="1:4">
      <c r="A28" s="155"/>
      <c r="B28" s="155"/>
      <c r="C28" s="155"/>
      <c r="D28" s="155"/>
    </row>
    <row r="29" spans="1:4">
      <c r="A29" s="155"/>
      <c r="B29" s="155"/>
      <c r="C29" s="155"/>
      <c r="D29" s="155"/>
    </row>
    <row r="30" spans="1:4">
      <c r="A30" s="155"/>
      <c r="B30" s="155"/>
      <c r="C30" s="155"/>
      <c r="D30" s="155"/>
    </row>
    <row r="31" spans="1:4">
      <c r="A31" s="155"/>
      <c r="B31" s="155"/>
      <c r="C31" s="155"/>
      <c r="D31" s="155"/>
    </row>
    <row r="32" spans="1:4">
      <c r="A32" s="155"/>
      <c r="B32" s="155"/>
      <c r="C32" s="155"/>
      <c r="D32" s="155"/>
    </row>
    <row r="33" s="155" customFormat="1"/>
    <row r="34" s="155" customFormat="1"/>
    <row r="35" s="155" customFormat="1"/>
    <row r="36" s="155" customFormat="1"/>
    <row r="37" s="155" customFormat="1"/>
    <row r="38" s="155" customFormat="1"/>
    <row r="39" s="155" customFormat="1"/>
    <row r="40" s="155" customFormat="1"/>
    <row r="41" s="155" customFormat="1"/>
    <row r="42" s="155" customFormat="1"/>
    <row r="43" s="155" customFormat="1"/>
  </sheetData>
  <mergeCells count="6">
    <mergeCell ref="E8:G8"/>
    <mergeCell ref="A7:G7"/>
    <mergeCell ref="A1:G1"/>
    <mergeCell ref="A2:G3"/>
    <mergeCell ref="A8:A9"/>
    <mergeCell ref="B8:D8"/>
  </mergeCells>
  <phoneticPr fontId="1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Roman,Normál"&amp;11 10/k. sz. melléklet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0">
    <tabColor theme="4" tint="0.59999389629810485"/>
  </sheetPr>
  <dimension ref="A1:V56"/>
  <sheetViews>
    <sheetView topLeftCell="A10" workbookViewId="0">
      <selection activeCell="A17" sqref="A17"/>
    </sheetView>
  </sheetViews>
  <sheetFormatPr defaultColWidth="9.140625" defaultRowHeight="12.75"/>
  <cols>
    <col min="1" max="1" width="6.28515625" style="24" customWidth="1"/>
    <col min="2" max="2" width="48.140625" style="24" customWidth="1"/>
    <col min="3" max="3" width="13" style="24" bestFit="1" customWidth="1"/>
    <col min="4" max="4" width="14.42578125" style="24" customWidth="1"/>
    <col min="5" max="22" width="9.140625" style="108"/>
    <col min="23" max="16384" width="9.140625" style="24"/>
  </cols>
  <sheetData>
    <row r="1" spans="1:22">
      <c r="A1" s="873" t="s">
        <v>1041</v>
      </c>
      <c r="B1" s="873"/>
      <c r="C1" s="873"/>
      <c r="D1" s="873"/>
    </row>
    <row r="2" spans="1:22" s="158" customFormat="1" ht="15.75" customHeight="1">
      <c r="A2" s="878" t="s">
        <v>1090</v>
      </c>
      <c r="B2" s="878"/>
      <c r="C2" s="878"/>
      <c r="D2" s="878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</row>
    <row r="3" spans="1:22" s="158" customFormat="1" ht="15.75" customHeight="1">
      <c r="A3" s="891" t="s">
        <v>107</v>
      </c>
      <c r="B3" s="891"/>
      <c r="C3" s="891"/>
      <c r="D3" s="891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</row>
    <row r="4" spans="1:22" s="108" customFormat="1" ht="21" customHeight="1">
      <c r="A4" s="265"/>
      <c r="B4" s="259"/>
      <c r="C4" s="259"/>
      <c r="D4" s="259"/>
    </row>
    <row r="5" spans="1:22" ht="26.25" customHeight="1">
      <c r="A5" s="892" t="s">
        <v>238</v>
      </c>
      <c r="B5" s="893"/>
      <c r="C5" s="893"/>
      <c r="D5" s="893"/>
    </row>
    <row r="6" spans="1:22" ht="25.5">
      <c r="A6" s="55" t="s">
        <v>139</v>
      </c>
      <c r="B6" s="55" t="s">
        <v>108</v>
      </c>
      <c r="C6" s="55" t="s">
        <v>109</v>
      </c>
      <c r="D6" s="55" t="s">
        <v>110</v>
      </c>
    </row>
    <row r="7" spans="1:22">
      <c r="A7" s="266">
        <v>1</v>
      </c>
      <c r="B7" s="266">
        <v>2</v>
      </c>
      <c r="C7" s="266">
        <v>3</v>
      </c>
      <c r="D7" s="266">
        <v>4</v>
      </c>
    </row>
    <row r="8" spans="1:22" ht="15.75" customHeight="1">
      <c r="A8" s="266" t="s">
        <v>141</v>
      </c>
      <c r="B8" s="98" t="s">
        <v>111</v>
      </c>
      <c r="C8" s="267">
        <v>0</v>
      </c>
      <c r="D8" s="268">
        <v>0</v>
      </c>
    </row>
    <row r="9" spans="1:22" ht="15.75" customHeight="1">
      <c r="A9" s="266" t="s">
        <v>142</v>
      </c>
      <c r="B9" s="98" t="s">
        <v>112</v>
      </c>
      <c r="C9" s="267"/>
      <c r="D9" s="268"/>
    </row>
    <row r="10" spans="1:22" ht="15.75" customHeight="1">
      <c r="A10" s="266" t="s">
        <v>143</v>
      </c>
      <c r="B10" s="98" t="s">
        <v>113</v>
      </c>
      <c r="C10" s="267"/>
      <c r="D10" s="268"/>
    </row>
    <row r="11" spans="1:22" ht="15.75" customHeight="1">
      <c r="A11" s="266" t="s">
        <v>147</v>
      </c>
      <c r="B11" s="98" t="s">
        <v>114</v>
      </c>
      <c r="C11" s="267"/>
      <c r="D11" s="268"/>
    </row>
    <row r="12" spans="1:22" ht="15.75" customHeight="1">
      <c r="A12" s="266" t="s">
        <v>148</v>
      </c>
      <c r="B12" s="98" t="s">
        <v>115</v>
      </c>
      <c r="C12" s="267"/>
      <c r="D12" s="268"/>
    </row>
    <row r="13" spans="1:22" ht="50.25" customHeight="1">
      <c r="A13" s="266" t="s">
        <v>149</v>
      </c>
      <c r="B13" s="261" t="s">
        <v>877</v>
      </c>
      <c r="C13" s="436"/>
      <c r="D13" s="268">
        <v>0</v>
      </c>
    </row>
    <row r="14" spans="1:22" ht="48.75" customHeight="1">
      <c r="A14" s="266" t="s">
        <v>150</v>
      </c>
      <c r="B14" s="98" t="s">
        <v>193</v>
      </c>
      <c r="C14" s="268">
        <v>50000</v>
      </c>
      <c r="D14" s="268">
        <v>50000</v>
      </c>
    </row>
    <row r="15" spans="1:22" ht="48.75" customHeight="1">
      <c r="A15" s="248" t="s">
        <v>151</v>
      </c>
      <c r="B15" s="261" t="s">
        <v>543</v>
      </c>
      <c r="C15" s="268"/>
      <c r="D15" s="268">
        <v>0</v>
      </c>
    </row>
    <row r="16" spans="1:22" s="165" customFormat="1" ht="15.75" customHeight="1">
      <c r="A16" s="201" t="s">
        <v>152</v>
      </c>
      <c r="B16" s="198" t="s">
        <v>54</v>
      </c>
      <c r="C16" s="202">
        <f>SUM(C8:C15)</f>
        <v>50000</v>
      </c>
      <c r="D16" s="202">
        <f>SUM(D8:D15)</f>
        <v>50000</v>
      </c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</row>
    <row r="17" s="108" customFormat="1" ht="15" customHeight="1"/>
    <row r="18" s="108" customFormat="1"/>
    <row r="19" s="108" customFormat="1"/>
    <row r="20" s="108" customFormat="1"/>
    <row r="21" s="108" customFormat="1"/>
    <row r="22" s="108" customFormat="1"/>
    <row r="23" s="108" customFormat="1"/>
    <row r="24" s="108" customFormat="1"/>
    <row r="25" s="108" customFormat="1"/>
    <row r="26" s="108" customFormat="1"/>
    <row r="27" s="108" customFormat="1"/>
    <row r="28" s="108" customFormat="1"/>
    <row r="29" s="108" customFormat="1"/>
    <row r="30" s="108" customFormat="1"/>
    <row r="31" s="108" customFormat="1"/>
    <row r="32" s="108" customFormat="1"/>
    <row r="33" s="108" customFormat="1"/>
    <row r="34" s="108" customFormat="1"/>
    <row r="35" s="108" customFormat="1"/>
    <row r="36" s="108" customFormat="1"/>
    <row r="37" s="108" customFormat="1"/>
    <row r="38" s="108" customFormat="1"/>
    <row r="39" s="108" customFormat="1"/>
    <row r="40" s="108" customFormat="1"/>
    <row r="41" s="108" customFormat="1"/>
    <row r="42" s="108" customFormat="1"/>
    <row r="43" s="108" customFormat="1"/>
    <row r="44" s="108" customFormat="1"/>
    <row r="45" s="108" customFormat="1"/>
    <row r="46" s="108" customFormat="1"/>
    <row r="47" s="108" customFormat="1"/>
    <row r="48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</sheetData>
  <mergeCells count="4">
    <mergeCell ref="A2:D2"/>
    <mergeCell ref="A3:D3"/>
    <mergeCell ref="A5:D5"/>
    <mergeCell ref="A1:D1"/>
  </mergeCells>
  <phoneticPr fontId="12" type="noConversion"/>
  <pageMargins left="0.75" right="0.75" top="1" bottom="1" header="0.5" footer="0.5"/>
  <pageSetup paperSize="9" orientation="portrait" r:id="rId1"/>
  <headerFooter alignWithMargins="0">
    <oddHeader>&amp;R&amp;"Times New Roman,Normál"&amp;11 11. sz. melléklet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31">
    <tabColor theme="4" tint="0.59999389629810485"/>
  </sheetPr>
  <dimension ref="A1:X77"/>
  <sheetViews>
    <sheetView zoomScaleNormal="100" workbookViewId="0">
      <pane ySplit="4" topLeftCell="A41" activePane="bottomLeft" state="frozen"/>
      <selection activeCell="A26" sqref="A26:B26"/>
      <selection pane="bottomLeft" activeCell="B32" sqref="B32"/>
    </sheetView>
  </sheetViews>
  <sheetFormatPr defaultRowHeight="12.75"/>
  <cols>
    <col min="1" max="1" width="9.140625" bestFit="1" customWidth="1"/>
    <col min="2" max="2" width="37.5703125" bestFit="1" customWidth="1"/>
    <col min="3" max="3" width="16.28515625" style="21" bestFit="1" customWidth="1"/>
    <col min="4" max="4" width="14.85546875" style="21" bestFit="1" customWidth="1"/>
    <col min="5" max="5" width="16.28515625" style="21" bestFit="1" customWidth="1"/>
    <col min="6" max="6" width="16.140625" style="21" customWidth="1"/>
    <col min="7" max="7" width="16.28515625" style="21" bestFit="1" customWidth="1"/>
    <col min="8" max="8" width="13.5703125" style="21" customWidth="1"/>
    <col min="9" max="9" width="14.42578125" style="21" bestFit="1" customWidth="1"/>
    <col min="10" max="11" width="13.5703125" style="21" customWidth="1"/>
    <col min="12" max="12" width="14.7109375" style="21" bestFit="1" customWidth="1"/>
    <col min="13" max="13" width="11" style="21" customWidth="1"/>
    <col min="14" max="14" width="17.5703125" style="21" customWidth="1"/>
    <col min="15" max="15" width="16.42578125" style="21" customWidth="1"/>
    <col min="16" max="24" width="9.140625" style="46" customWidth="1"/>
  </cols>
  <sheetData>
    <row r="1" spans="1:24" s="20" customFormat="1" ht="37.5" customHeight="1">
      <c r="A1" s="894" t="s">
        <v>1099</v>
      </c>
      <c r="B1" s="895"/>
      <c r="C1" s="895"/>
      <c r="D1" s="895"/>
      <c r="E1" s="895"/>
      <c r="F1" s="895"/>
      <c r="G1" s="895"/>
      <c r="H1" s="895"/>
      <c r="I1" s="895"/>
      <c r="J1" s="895"/>
      <c r="K1" s="895"/>
      <c r="L1" s="895"/>
      <c r="M1" s="895"/>
      <c r="N1" s="895"/>
      <c r="O1" s="895"/>
      <c r="P1" s="59"/>
      <c r="Q1" s="59"/>
      <c r="R1" s="59"/>
      <c r="S1" s="59"/>
      <c r="T1" s="59"/>
      <c r="U1" s="59"/>
      <c r="V1" s="59"/>
      <c r="W1" s="59"/>
      <c r="X1" s="59"/>
    </row>
    <row r="2" spans="1:24" s="46" customFormat="1">
      <c r="A2" s="896"/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</row>
    <row r="3" spans="1:24" ht="66" customHeight="1">
      <c r="A3" s="899" t="s">
        <v>505</v>
      </c>
      <c r="B3" s="899"/>
      <c r="C3" s="897" t="s">
        <v>188</v>
      </c>
      <c r="D3" s="897" t="s">
        <v>1109</v>
      </c>
      <c r="E3" s="897" t="s">
        <v>1107</v>
      </c>
      <c r="F3" s="897" t="s">
        <v>1108</v>
      </c>
      <c r="G3" s="897" t="s">
        <v>1172</v>
      </c>
      <c r="H3" s="897" t="s">
        <v>1173</v>
      </c>
      <c r="I3" s="897" t="s">
        <v>924</v>
      </c>
      <c r="J3" s="897" t="s">
        <v>239</v>
      </c>
      <c r="K3" s="897" t="s">
        <v>234</v>
      </c>
      <c r="L3" s="897" t="s">
        <v>421</v>
      </c>
      <c r="M3" s="897" t="s">
        <v>123</v>
      </c>
      <c r="N3" s="897" t="s">
        <v>121</v>
      </c>
      <c r="O3" s="897" t="s">
        <v>421</v>
      </c>
    </row>
    <row r="4" spans="1:24">
      <c r="A4" s="85" t="s">
        <v>504</v>
      </c>
      <c r="B4" s="85" t="s">
        <v>134</v>
      </c>
      <c r="C4" s="898"/>
      <c r="D4" s="898"/>
      <c r="E4" s="898"/>
      <c r="F4" s="898"/>
      <c r="G4" s="898"/>
      <c r="H4" s="898"/>
      <c r="I4" s="898"/>
      <c r="J4" s="898"/>
      <c r="K4" s="898"/>
      <c r="L4" s="898"/>
      <c r="M4" s="898"/>
      <c r="N4" s="898"/>
      <c r="O4" s="898"/>
    </row>
    <row r="5" spans="1:24">
      <c r="A5" s="321">
        <v>104031</v>
      </c>
      <c r="B5" s="320" t="s">
        <v>524</v>
      </c>
      <c r="C5" s="104">
        <v>83289488</v>
      </c>
      <c r="D5" s="104">
        <v>1364908</v>
      </c>
      <c r="E5" s="104"/>
      <c r="F5" s="104"/>
      <c r="G5" s="104"/>
      <c r="H5" s="104"/>
      <c r="I5" s="104"/>
      <c r="J5" s="104"/>
      <c r="K5" s="104"/>
      <c r="L5" s="104"/>
      <c r="M5" s="104"/>
      <c r="N5" s="104">
        <f t="shared" ref="N5:N40" si="0">SUM(D5:M5)</f>
        <v>1364908</v>
      </c>
      <c r="O5" s="67">
        <f t="shared" ref="O5:O11" si="1">SUM(C5-D5-E5-F5-G5-H5-I5-J5-K5-L5-M5)</f>
        <v>81924580</v>
      </c>
    </row>
    <row r="6" spans="1:24">
      <c r="A6" s="321">
        <v>104035</v>
      </c>
      <c r="B6" s="318" t="s">
        <v>525</v>
      </c>
      <c r="C6" s="104">
        <v>17417019</v>
      </c>
      <c r="D6" s="104">
        <v>1804188</v>
      </c>
      <c r="E6" s="104"/>
      <c r="F6" s="104"/>
      <c r="G6" s="104"/>
      <c r="H6" s="104"/>
      <c r="I6" s="104"/>
      <c r="J6" s="104"/>
      <c r="K6" s="104"/>
      <c r="L6" s="104"/>
      <c r="M6" s="104"/>
      <c r="N6" s="104">
        <f t="shared" si="0"/>
        <v>1804188</v>
      </c>
      <c r="O6" s="67">
        <f t="shared" si="1"/>
        <v>15612831</v>
      </c>
    </row>
    <row r="7" spans="1:24">
      <c r="A7" s="321">
        <v>104036</v>
      </c>
      <c r="B7" s="320" t="s">
        <v>526</v>
      </c>
      <c r="C7" s="104">
        <v>0</v>
      </c>
      <c r="D7" s="104">
        <v>0</v>
      </c>
      <c r="E7" s="104"/>
      <c r="F7" s="104"/>
      <c r="G7" s="104"/>
      <c r="H7" s="104"/>
      <c r="I7" s="104"/>
      <c r="J7" s="104"/>
      <c r="K7" s="104"/>
      <c r="L7" s="104"/>
      <c r="M7" s="104"/>
      <c r="N7" s="104">
        <f t="shared" si="0"/>
        <v>0</v>
      </c>
      <c r="O7" s="67">
        <f t="shared" si="1"/>
        <v>0</v>
      </c>
    </row>
    <row r="8" spans="1:24">
      <c r="A8" s="321">
        <v>104037</v>
      </c>
      <c r="B8" s="318" t="s">
        <v>534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>
        <f t="shared" si="0"/>
        <v>0</v>
      </c>
      <c r="O8" s="67">
        <f t="shared" si="1"/>
        <v>0</v>
      </c>
    </row>
    <row r="9" spans="1:24">
      <c r="A9" s="319" t="s">
        <v>510</v>
      </c>
      <c r="B9" s="318" t="s">
        <v>533</v>
      </c>
      <c r="C9" s="104">
        <v>0</v>
      </c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>
        <f t="shared" si="0"/>
        <v>0</v>
      </c>
      <c r="O9" s="67">
        <f t="shared" si="1"/>
        <v>0</v>
      </c>
    </row>
    <row r="10" spans="1:24">
      <c r="A10" s="319" t="s">
        <v>508</v>
      </c>
      <c r="B10" s="318" t="s">
        <v>516</v>
      </c>
      <c r="C10" s="104"/>
      <c r="D10" s="104"/>
      <c r="E10" s="104">
        <v>100000</v>
      </c>
      <c r="F10" s="104">
        <v>13554074</v>
      </c>
      <c r="G10" s="104">
        <v>92332066</v>
      </c>
      <c r="H10" s="104"/>
      <c r="I10" s="104"/>
      <c r="J10" s="104"/>
      <c r="K10" s="104"/>
      <c r="L10" s="104">
        <v>7285124</v>
      </c>
      <c r="M10" s="104"/>
      <c r="N10" s="104">
        <f t="shared" si="0"/>
        <v>113271264</v>
      </c>
      <c r="O10" s="67">
        <f t="shared" si="1"/>
        <v>-113271264</v>
      </c>
    </row>
    <row r="11" spans="1:24" s="165" customFormat="1" ht="15.75">
      <c r="A11" s="900" t="s">
        <v>27</v>
      </c>
      <c r="B11" s="900"/>
      <c r="C11" s="168">
        <f>SUM(C5:C10)</f>
        <v>100706507</v>
      </c>
      <c r="D11" s="168">
        <f>SUM(D5:D8)</f>
        <v>3169096</v>
      </c>
      <c r="E11" s="168">
        <f>SUM(E5:E10)</f>
        <v>100000</v>
      </c>
      <c r="F11" s="168">
        <f>SUM(F5:F10)</f>
        <v>13554074</v>
      </c>
      <c r="G11" s="168">
        <f>SUM(G5:G10)</f>
        <v>92332066</v>
      </c>
      <c r="H11" s="168">
        <f t="shared" ref="H11:M11" si="2">SUM(H5:H8)</f>
        <v>0</v>
      </c>
      <c r="I11" s="168">
        <f>SUM(I5:I10)</f>
        <v>0</v>
      </c>
      <c r="J11" s="168">
        <f t="shared" si="2"/>
        <v>0</v>
      </c>
      <c r="K11" s="168">
        <f t="shared" si="2"/>
        <v>0</v>
      </c>
      <c r="L11" s="168">
        <f>SUM(L5:L10)</f>
        <v>7285124</v>
      </c>
      <c r="M11" s="168">
        <f t="shared" si="2"/>
        <v>0</v>
      </c>
      <c r="N11" s="168">
        <f t="shared" si="0"/>
        <v>116440360</v>
      </c>
      <c r="O11" s="235">
        <f t="shared" si="1"/>
        <v>-15733853</v>
      </c>
      <c r="P11" s="164"/>
      <c r="Q11" s="164"/>
      <c r="R11" s="164"/>
      <c r="S11" s="164"/>
      <c r="T11" s="164"/>
      <c r="U11" s="164"/>
      <c r="V11" s="164"/>
      <c r="W11" s="164"/>
      <c r="X11" s="164"/>
    </row>
    <row r="12" spans="1:24">
      <c r="A12" s="321">
        <v>107052</v>
      </c>
      <c r="B12" s="318" t="s">
        <v>518</v>
      </c>
      <c r="C12" s="104">
        <v>170056429</v>
      </c>
      <c r="D12" s="104">
        <v>16426250</v>
      </c>
      <c r="E12" s="104"/>
      <c r="F12" s="104"/>
      <c r="G12" s="104"/>
      <c r="H12" s="104"/>
      <c r="I12" s="104"/>
      <c r="J12" s="104"/>
      <c r="K12" s="104"/>
      <c r="L12" s="104"/>
      <c r="M12" s="104"/>
      <c r="N12" s="104">
        <f t="shared" si="0"/>
        <v>16426250</v>
      </c>
      <c r="O12" s="67">
        <f t="shared" ref="O12:O48" si="3">SUM(C12-D12-E12-F12-G12-H12-I12-J12-K12-L12-M12)</f>
        <v>153630179</v>
      </c>
    </row>
    <row r="13" spans="1:24">
      <c r="A13" s="321">
        <v>107053</v>
      </c>
      <c r="B13" s="318" t="s">
        <v>519</v>
      </c>
      <c r="C13" s="104">
        <v>9889292</v>
      </c>
      <c r="D13" s="104">
        <v>2507630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f t="shared" si="0"/>
        <v>2507630</v>
      </c>
      <c r="O13" s="67">
        <f t="shared" si="3"/>
        <v>7381662</v>
      </c>
    </row>
    <row r="14" spans="1:24">
      <c r="A14" s="321">
        <v>107051</v>
      </c>
      <c r="B14" s="318" t="s">
        <v>194</v>
      </c>
      <c r="C14" s="104">
        <v>20187750</v>
      </c>
      <c r="D14" s="104">
        <v>8297730</v>
      </c>
      <c r="E14" s="104"/>
      <c r="F14" s="104"/>
      <c r="G14" s="104"/>
      <c r="H14" s="104"/>
      <c r="I14" s="104"/>
      <c r="J14" s="104"/>
      <c r="K14" s="104"/>
      <c r="L14" s="104"/>
      <c r="M14" s="104"/>
      <c r="N14" s="104">
        <f t="shared" si="0"/>
        <v>8297730</v>
      </c>
      <c r="O14" s="67">
        <f t="shared" si="3"/>
        <v>11890020</v>
      </c>
    </row>
    <row r="15" spans="1:24">
      <c r="A15" s="321">
        <v>102031</v>
      </c>
      <c r="B15" s="318" t="s">
        <v>520</v>
      </c>
      <c r="C15" s="104">
        <v>16357403</v>
      </c>
      <c r="D15" s="104">
        <v>632825</v>
      </c>
      <c r="E15" s="104"/>
      <c r="F15" s="104"/>
      <c r="G15" s="104"/>
      <c r="H15" s="104"/>
      <c r="I15" s="104"/>
      <c r="J15" s="104"/>
      <c r="K15" s="104"/>
      <c r="L15" s="104"/>
      <c r="M15" s="104"/>
      <c r="N15" s="104">
        <f t="shared" si="0"/>
        <v>632825</v>
      </c>
      <c r="O15" s="67">
        <f t="shared" si="3"/>
        <v>15724578</v>
      </c>
    </row>
    <row r="16" spans="1:24">
      <c r="A16" s="321">
        <v>102032</v>
      </c>
      <c r="B16" s="320" t="s">
        <v>883</v>
      </c>
      <c r="C16" s="104">
        <v>14093964</v>
      </c>
      <c r="D16" s="104">
        <v>685940</v>
      </c>
      <c r="E16" s="104"/>
      <c r="F16" s="104"/>
      <c r="G16" s="104"/>
      <c r="H16" s="104"/>
      <c r="I16" s="104"/>
      <c r="J16" s="104"/>
      <c r="K16" s="104"/>
      <c r="L16" s="104"/>
      <c r="M16" s="104"/>
      <c r="N16" s="104">
        <f t="shared" si="0"/>
        <v>685940</v>
      </c>
      <c r="O16" s="67">
        <f t="shared" si="3"/>
        <v>13408024</v>
      </c>
    </row>
    <row r="17" spans="1:24">
      <c r="A17" s="321">
        <v>107013</v>
      </c>
      <c r="B17" s="318" t="s">
        <v>532</v>
      </c>
      <c r="C17" s="104">
        <v>30696756</v>
      </c>
      <c r="D17" s="104">
        <v>2809120</v>
      </c>
      <c r="E17" s="104"/>
      <c r="F17" s="104"/>
      <c r="G17" s="104"/>
      <c r="H17" s="104"/>
      <c r="I17" s="104"/>
      <c r="J17" s="104"/>
      <c r="K17" s="104"/>
      <c r="L17" s="104"/>
      <c r="M17" s="104"/>
      <c r="N17" s="104">
        <f t="shared" si="0"/>
        <v>2809120</v>
      </c>
      <c r="O17" s="67">
        <f t="shared" si="3"/>
        <v>27887636</v>
      </c>
    </row>
    <row r="18" spans="1:24">
      <c r="A18" s="319" t="s">
        <v>510</v>
      </c>
      <c r="B18" s="318" t="s">
        <v>533</v>
      </c>
      <c r="C18" s="104">
        <v>8441908</v>
      </c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>
        <f t="shared" si="0"/>
        <v>0</v>
      </c>
      <c r="O18" s="67">
        <f t="shared" si="3"/>
        <v>8441908</v>
      </c>
    </row>
    <row r="19" spans="1:24">
      <c r="A19" s="319" t="s">
        <v>508</v>
      </c>
      <c r="B19" s="318" t="s">
        <v>516</v>
      </c>
      <c r="C19" s="104"/>
      <c r="D19" s="104"/>
      <c r="E19" s="104">
        <v>450000</v>
      </c>
      <c r="F19" s="104">
        <v>41529651</v>
      </c>
      <c r="G19" s="104">
        <v>184541469</v>
      </c>
      <c r="H19" s="104"/>
      <c r="I19" s="104"/>
      <c r="J19" s="104"/>
      <c r="K19" s="104"/>
      <c r="L19" s="104">
        <v>28978829</v>
      </c>
      <c r="M19" s="104"/>
      <c r="N19" s="104">
        <f t="shared" si="0"/>
        <v>255499949</v>
      </c>
      <c r="O19" s="67">
        <f t="shared" si="3"/>
        <v>-255499949</v>
      </c>
    </row>
    <row r="20" spans="1:24" s="165" customFormat="1" ht="15.75">
      <c r="A20" s="901" t="s">
        <v>30</v>
      </c>
      <c r="B20" s="901"/>
      <c r="C20" s="163">
        <f>SUM(C12:C19)</f>
        <v>269723502</v>
      </c>
      <c r="D20" s="163">
        <f>SUM(D12:D19)</f>
        <v>31359495</v>
      </c>
      <c r="E20" s="163">
        <f>SUM(E12:E19)</f>
        <v>450000</v>
      </c>
      <c r="F20" s="163">
        <f>SUM(F12:F19)</f>
        <v>41529651</v>
      </c>
      <c r="G20" s="163">
        <f>SUM(G12:G19)</f>
        <v>184541469</v>
      </c>
      <c r="H20" s="163">
        <f t="shared" ref="H20:M20" si="4">SUM(H12:H18)</f>
        <v>0</v>
      </c>
      <c r="I20" s="163">
        <f>SUM(I12:I19)</f>
        <v>0</v>
      </c>
      <c r="J20" s="163">
        <f t="shared" si="4"/>
        <v>0</v>
      </c>
      <c r="K20" s="163">
        <f t="shared" si="4"/>
        <v>0</v>
      </c>
      <c r="L20" s="163">
        <f>SUM(L12:L19)</f>
        <v>28978829</v>
      </c>
      <c r="M20" s="163">
        <f t="shared" si="4"/>
        <v>0</v>
      </c>
      <c r="N20" s="163">
        <f t="shared" si="0"/>
        <v>286859444</v>
      </c>
      <c r="O20" s="234">
        <f t="shared" si="3"/>
        <v>-17135942</v>
      </c>
      <c r="P20" s="164"/>
      <c r="Q20" s="164"/>
      <c r="R20" s="164"/>
      <c r="S20" s="164"/>
      <c r="T20" s="164"/>
      <c r="U20" s="164"/>
      <c r="V20" s="164"/>
      <c r="W20" s="164"/>
      <c r="X20" s="164"/>
    </row>
    <row r="21" spans="1:24" ht="13.5" customHeight="1">
      <c r="A21" s="319" t="s">
        <v>506</v>
      </c>
      <c r="B21" s="320" t="s">
        <v>512</v>
      </c>
      <c r="C21" s="104">
        <v>5206076</v>
      </c>
      <c r="D21" s="104">
        <v>3687</v>
      </c>
      <c r="E21" s="104"/>
      <c r="F21" s="104"/>
      <c r="G21" s="104"/>
      <c r="H21" s="104"/>
      <c r="I21" s="104"/>
      <c r="J21" s="104"/>
      <c r="K21" s="104"/>
      <c r="L21" s="104"/>
      <c r="M21" s="104"/>
      <c r="N21" s="104">
        <f t="shared" si="0"/>
        <v>3687</v>
      </c>
      <c r="O21" s="67">
        <f t="shared" si="3"/>
        <v>5202389</v>
      </c>
    </row>
    <row r="22" spans="1:24" ht="13.5" customHeight="1">
      <c r="A22" s="319" t="s">
        <v>507</v>
      </c>
      <c r="B22" s="320" t="s">
        <v>517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>
        <f t="shared" si="0"/>
        <v>0</v>
      </c>
      <c r="O22" s="67">
        <f t="shared" si="3"/>
        <v>0</v>
      </c>
    </row>
    <row r="23" spans="1:24" s="10" customFormat="1" ht="38.25">
      <c r="A23" s="459" t="s">
        <v>884</v>
      </c>
      <c r="B23" s="460" t="s">
        <v>1195</v>
      </c>
      <c r="C23" s="67">
        <v>24596135</v>
      </c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>
        <f t="shared" si="0"/>
        <v>0</v>
      </c>
      <c r="O23" s="67">
        <f t="shared" si="3"/>
        <v>24596135</v>
      </c>
      <c r="P23" s="57"/>
      <c r="Q23" s="57"/>
      <c r="R23" s="57"/>
      <c r="S23" s="57"/>
      <c r="T23" s="57"/>
      <c r="U23" s="57"/>
      <c r="V23" s="57"/>
      <c r="W23" s="57"/>
      <c r="X23" s="57"/>
    </row>
    <row r="24" spans="1:24">
      <c r="A24" s="319" t="s">
        <v>513</v>
      </c>
      <c r="B24" s="320" t="s">
        <v>514</v>
      </c>
      <c r="C24" s="104">
        <v>33692196</v>
      </c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>
        <f t="shared" si="0"/>
        <v>0</v>
      </c>
      <c r="O24" s="67">
        <f t="shared" si="3"/>
        <v>33692196</v>
      </c>
    </row>
    <row r="25" spans="1:24" ht="38.25">
      <c r="A25" s="319" t="s">
        <v>508</v>
      </c>
      <c r="B25" s="484" t="s">
        <v>1195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>
        <f>15754704+2051767</f>
        <v>17806471</v>
      </c>
      <c r="M25" s="104"/>
      <c r="N25" s="104">
        <f t="shared" si="0"/>
        <v>17806471</v>
      </c>
      <c r="O25" s="67">
        <f t="shared" si="3"/>
        <v>-17806471</v>
      </c>
    </row>
    <row r="26" spans="1:24">
      <c r="A26" s="319" t="s">
        <v>508</v>
      </c>
      <c r="B26" s="318" t="s">
        <v>516</v>
      </c>
      <c r="C26" s="104">
        <v>420757753</v>
      </c>
      <c r="D26" s="104"/>
      <c r="E26" s="104">
        <v>335027</v>
      </c>
      <c r="F26" s="104">
        <v>472921672</v>
      </c>
      <c r="G26" s="104"/>
      <c r="H26" s="104"/>
      <c r="I26" s="104"/>
      <c r="J26" s="104"/>
      <c r="K26" s="104"/>
      <c r="L26" s="104">
        <f>10643839+807083</f>
        <v>11450922</v>
      </c>
      <c r="M26" s="104"/>
      <c r="N26" s="104">
        <f t="shared" si="0"/>
        <v>484707621</v>
      </c>
      <c r="O26" s="67">
        <f t="shared" si="3"/>
        <v>-63949868</v>
      </c>
    </row>
    <row r="27" spans="1:24">
      <c r="A27" s="319" t="s">
        <v>508</v>
      </c>
      <c r="B27" s="320" t="s">
        <v>1003</v>
      </c>
      <c r="C27" s="104"/>
      <c r="D27" s="104"/>
      <c r="E27" s="104">
        <v>0</v>
      </c>
      <c r="F27" s="104"/>
      <c r="G27" s="104"/>
      <c r="H27" s="104"/>
      <c r="I27" s="104"/>
      <c r="J27" s="104"/>
      <c r="K27" s="104"/>
      <c r="L27" s="104">
        <v>93998</v>
      </c>
      <c r="M27" s="104"/>
      <c r="N27" s="104">
        <f t="shared" si="0"/>
        <v>93998</v>
      </c>
      <c r="O27" s="67">
        <f t="shared" si="3"/>
        <v>-93998</v>
      </c>
    </row>
    <row r="28" spans="1:24">
      <c r="A28" s="319" t="s">
        <v>509</v>
      </c>
      <c r="B28" s="320" t="s">
        <v>511</v>
      </c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>
        <f t="shared" si="0"/>
        <v>0</v>
      </c>
      <c r="O28" s="67">
        <f t="shared" si="3"/>
        <v>0</v>
      </c>
    </row>
    <row r="29" spans="1:24">
      <c r="A29" s="321">
        <v>107052</v>
      </c>
      <c r="B29" s="320" t="s">
        <v>518</v>
      </c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>
        <f t="shared" si="0"/>
        <v>0</v>
      </c>
      <c r="O29" s="67">
        <f t="shared" si="3"/>
        <v>0</v>
      </c>
    </row>
    <row r="30" spans="1:24">
      <c r="A30" s="321">
        <v>107051</v>
      </c>
      <c r="B30" s="318" t="s">
        <v>194</v>
      </c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>
        <f t="shared" si="0"/>
        <v>0</v>
      </c>
      <c r="O30" s="67">
        <f t="shared" si="3"/>
        <v>0</v>
      </c>
    </row>
    <row r="31" spans="1:24">
      <c r="A31" s="321">
        <v>107053</v>
      </c>
      <c r="B31" s="318" t="s">
        <v>519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>
        <f t="shared" si="0"/>
        <v>0</v>
      </c>
      <c r="O31" s="67">
        <f t="shared" si="3"/>
        <v>0</v>
      </c>
    </row>
    <row r="32" spans="1:24" ht="25.5">
      <c r="A32" s="319" t="s">
        <v>508</v>
      </c>
      <c r="B32" s="484" t="s">
        <v>965</v>
      </c>
      <c r="C32" s="104">
        <v>405251</v>
      </c>
      <c r="D32" s="104"/>
      <c r="E32" s="104"/>
      <c r="F32" s="104"/>
      <c r="G32" s="104"/>
      <c r="H32" s="104"/>
      <c r="I32" s="104"/>
      <c r="J32" s="104"/>
      <c r="K32" s="104"/>
      <c r="L32" s="104">
        <v>405251</v>
      </c>
      <c r="M32" s="104"/>
      <c r="N32" s="104">
        <f t="shared" si="0"/>
        <v>405251</v>
      </c>
      <c r="O32" s="67">
        <f t="shared" si="3"/>
        <v>0</v>
      </c>
    </row>
    <row r="33" spans="1:24" ht="25.5">
      <c r="A33" s="321">
        <v>107013</v>
      </c>
      <c r="B33" s="484" t="s">
        <v>965</v>
      </c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>
        <f t="shared" si="0"/>
        <v>0</v>
      </c>
      <c r="O33" s="67">
        <f t="shared" si="3"/>
        <v>0</v>
      </c>
    </row>
    <row r="34" spans="1:24">
      <c r="A34" s="321">
        <v>104042</v>
      </c>
      <c r="B34" s="320" t="s">
        <v>1003</v>
      </c>
      <c r="C34" s="104">
        <v>0</v>
      </c>
      <c r="D34" s="104">
        <v>1</v>
      </c>
      <c r="E34" s="104"/>
      <c r="F34" s="104"/>
      <c r="G34" s="104"/>
      <c r="H34" s="104"/>
      <c r="I34" s="104"/>
      <c r="J34" s="104"/>
      <c r="K34" s="104"/>
      <c r="L34" s="104"/>
      <c r="M34" s="104"/>
      <c r="N34" s="104">
        <f t="shared" si="0"/>
        <v>1</v>
      </c>
      <c r="O34" s="67">
        <f t="shared" si="3"/>
        <v>-1</v>
      </c>
    </row>
    <row r="35" spans="1:24">
      <c r="A35" s="321">
        <v>104042</v>
      </c>
      <c r="B35" s="320" t="s">
        <v>522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>
        <f t="shared" si="0"/>
        <v>0</v>
      </c>
      <c r="O35" s="67">
        <f t="shared" si="3"/>
        <v>0</v>
      </c>
    </row>
    <row r="36" spans="1:24">
      <c r="A36" s="321">
        <v>104043</v>
      </c>
      <c r="B36" s="320" t="s">
        <v>523</v>
      </c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>
        <f t="shared" si="0"/>
        <v>0</v>
      </c>
      <c r="O36" s="67">
        <f t="shared" si="3"/>
        <v>0</v>
      </c>
    </row>
    <row r="37" spans="1:24">
      <c r="A37" s="321">
        <v>104031</v>
      </c>
      <c r="B37" s="320" t="s">
        <v>524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>
        <f t="shared" si="0"/>
        <v>0</v>
      </c>
      <c r="O37" s="67">
        <f t="shared" si="3"/>
        <v>0</v>
      </c>
    </row>
    <row r="38" spans="1:24">
      <c r="A38" s="321">
        <v>104035</v>
      </c>
      <c r="B38" s="318" t="s">
        <v>525</v>
      </c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>
        <f t="shared" si="0"/>
        <v>0</v>
      </c>
      <c r="O38" s="67">
        <f t="shared" si="3"/>
        <v>0</v>
      </c>
    </row>
    <row r="39" spans="1:24">
      <c r="A39" s="321">
        <v>104037</v>
      </c>
      <c r="B39" s="318" t="s">
        <v>534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>
        <f t="shared" si="0"/>
        <v>0</v>
      </c>
      <c r="O39" s="67">
        <f t="shared" si="3"/>
        <v>0</v>
      </c>
    </row>
    <row r="40" spans="1:24">
      <c r="A40" s="321">
        <v>104036</v>
      </c>
      <c r="B40" s="320" t="s">
        <v>526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>
        <f t="shared" si="0"/>
        <v>0</v>
      </c>
      <c r="O40" s="67">
        <f t="shared" si="3"/>
        <v>0</v>
      </c>
    </row>
    <row r="41" spans="1:24" s="165" customFormat="1" ht="15.75">
      <c r="A41" s="334" t="s">
        <v>28</v>
      </c>
      <c r="B41" s="334"/>
      <c r="C41" s="166">
        <f>SUM(C21:C40)</f>
        <v>484657411</v>
      </c>
      <c r="D41" s="166">
        <f>SUM(D21:D40)</f>
        <v>3688</v>
      </c>
      <c r="E41" s="166">
        <f>SUM(E21:E40)</f>
        <v>335027</v>
      </c>
      <c r="F41" s="166">
        <f>SUM(F21:F36)</f>
        <v>472921672</v>
      </c>
      <c r="G41" s="166">
        <f>SUM(G21:G40)</f>
        <v>0</v>
      </c>
      <c r="H41" s="166">
        <f>SUM(H21:H24)</f>
        <v>0</v>
      </c>
      <c r="I41" s="166">
        <f>SUM(I21:I24)</f>
        <v>0</v>
      </c>
      <c r="J41" s="166">
        <f>SUM(J21:J24)</f>
        <v>0</v>
      </c>
      <c r="K41" s="166">
        <f>SUM(K21:K24)</f>
        <v>0</v>
      </c>
      <c r="L41" s="166">
        <f>SUM(L21:L36)</f>
        <v>29756642</v>
      </c>
      <c r="M41" s="166">
        <f>SUM(M21:M24)</f>
        <v>0</v>
      </c>
      <c r="N41" s="166">
        <f t="shared" ref="N41:N48" si="5">SUM(D41:M41)</f>
        <v>503017029</v>
      </c>
      <c r="O41" s="233">
        <f>SUM(C41-D41-E41-F41-G41-H41-I41-J41-K41-L41-M41)</f>
        <v>-18359618</v>
      </c>
      <c r="P41" s="164"/>
      <c r="Q41" s="164"/>
      <c r="R41" s="164"/>
      <c r="S41" s="164"/>
      <c r="T41" s="164"/>
      <c r="U41" s="164"/>
      <c r="V41" s="164"/>
      <c r="W41" s="164"/>
      <c r="X41" s="164"/>
    </row>
    <row r="42" spans="1:24">
      <c r="A42" s="321">
        <v>104042</v>
      </c>
      <c r="B42" s="320" t="s">
        <v>522</v>
      </c>
      <c r="C42" s="104">
        <v>102141207</v>
      </c>
      <c r="D42" s="104">
        <v>13285</v>
      </c>
      <c r="E42" s="104"/>
      <c r="F42" s="104"/>
      <c r="G42" s="104"/>
      <c r="H42" s="104"/>
      <c r="I42" s="104"/>
      <c r="J42" s="104"/>
      <c r="K42" s="104"/>
      <c r="L42" s="104"/>
      <c r="M42" s="104"/>
      <c r="N42" s="104">
        <f t="shared" si="5"/>
        <v>13285</v>
      </c>
      <c r="O42" s="67">
        <f t="shared" si="3"/>
        <v>102127922</v>
      </c>
    </row>
    <row r="43" spans="1:24">
      <c r="A43" s="321">
        <v>104043</v>
      </c>
      <c r="B43" s="320" t="s">
        <v>523</v>
      </c>
      <c r="C43" s="104">
        <v>50155712</v>
      </c>
      <c r="D43" s="104">
        <v>781</v>
      </c>
      <c r="E43" s="104"/>
      <c r="F43" s="104"/>
      <c r="G43" s="104"/>
      <c r="H43" s="104"/>
      <c r="I43" s="104"/>
      <c r="J43" s="104"/>
      <c r="K43" s="104"/>
      <c r="L43" s="104"/>
      <c r="M43" s="104"/>
      <c r="N43" s="104">
        <f t="shared" si="5"/>
        <v>781</v>
      </c>
      <c r="O43" s="67">
        <f t="shared" si="3"/>
        <v>50154931</v>
      </c>
    </row>
    <row r="44" spans="1:24" ht="27" customHeight="1">
      <c r="A44" s="321">
        <v>104042</v>
      </c>
      <c r="B44" s="484" t="s">
        <v>1193</v>
      </c>
      <c r="C44" s="502">
        <v>5175570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>
        <f t="shared" si="5"/>
        <v>0</v>
      </c>
      <c r="O44" s="67">
        <f t="shared" si="3"/>
        <v>5175570</v>
      </c>
    </row>
    <row r="45" spans="1:24" ht="27" customHeight="1">
      <c r="A45" s="319" t="s">
        <v>508</v>
      </c>
      <c r="B45" s="484" t="s">
        <v>1194</v>
      </c>
      <c r="C45" s="502"/>
      <c r="D45" s="104"/>
      <c r="E45" s="104"/>
      <c r="F45" s="104">
        <v>3706868</v>
      </c>
      <c r="G45" s="104"/>
      <c r="H45" s="104"/>
      <c r="I45" s="104"/>
      <c r="J45" s="104"/>
      <c r="K45" s="104"/>
      <c r="L45" s="104">
        <v>1472043</v>
      </c>
      <c r="M45" s="104"/>
      <c r="N45" s="104">
        <f t="shared" si="5"/>
        <v>5178911</v>
      </c>
      <c r="O45" s="67">
        <f t="shared" si="3"/>
        <v>-5178911</v>
      </c>
    </row>
    <row r="46" spans="1:24">
      <c r="A46" s="319" t="s">
        <v>508</v>
      </c>
      <c r="B46" s="318" t="s">
        <v>516</v>
      </c>
      <c r="C46" s="502"/>
      <c r="D46" s="104"/>
      <c r="E46" s="104">
        <v>250000</v>
      </c>
      <c r="F46" s="104">
        <v>63009091</v>
      </c>
      <c r="G46" s="104">
        <v>111325623</v>
      </c>
      <c r="H46" s="104">
        <v>242110</v>
      </c>
      <c r="I46" s="104"/>
      <c r="J46" s="104"/>
      <c r="K46" s="104"/>
      <c r="L46" s="104">
        <v>21422461</v>
      </c>
      <c r="M46" s="104"/>
      <c r="N46" s="104">
        <f t="shared" si="5"/>
        <v>196249285</v>
      </c>
      <c r="O46" s="67">
        <f t="shared" si="3"/>
        <v>-196249285</v>
      </c>
    </row>
    <row r="47" spans="1:24">
      <c r="A47" s="321">
        <v>104043</v>
      </c>
      <c r="B47" s="320" t="s">
        <v>882</v>
      </c>
      <c r="C47" s="502">
        <v>20579049</v>
      </c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>
        <f t="shared" si="5"/>
        <v>0</v>
      </c>
      <c r="O47" s="67">
        <f>SUM(C47-D47-E47-F47-G47-H47-I47-J47-K47-L47-M47)</f>
        <v>20579049</v>
      </c>
    </row>
    <row r="48" spans="1:24" s="165" customFormat="1" ht="15.75">
      <c r="A48" s="171" t="s">
        <v>31</v>
      </c>
      <c r="B48" s="171"/>
      <c r="C48" s="167">
        <f t="shared" ref="C48:M48" si="6">SUM(C42:C47)</f>
        <v>178051538</v>
      </c>
      <c r="D48" s="167">
        <f t="shared" si="6"/>
        <v>14066</v>
      </c>
      <c r="E48" s="167">
        <f t="shared" si="6"/>
        <v>250000</v>
      </c>
      <c r="F48" s="167">
        <f t="shared" si="6"/>
        <v>66715959</v>
      </c>
      <c r="G48" s="167">
        <f t="shared" si="6"/>
        <v>111325623</v>
      </c>
      <c r="H48" s="167">
        <f t="shared" si="6"/>
        <v>242110</v>
      </c>
      <c r="I48" s="167">
        <f t="shared" si="6"/>
        <v>0</v>
      </c>
      <c r="J48" s="167">
        <f t="shared" si="6"/>
        <v>0</v>
      </c>
      <c r="K48" s="167">
        <f t="shared" si="6"/>
        <v>0</v>
      </c>
      <c r="L48" s="167">
        <f t="shared" si="6"/>
        <v>22894504</v>
      </c>
      <c r="M48" s="167">
        <f t="shared" si="6"/>
        <v>0</v>
      </c>
      <c r="N48" s="167">
        <f t="shared" si="5"/>
        <v>201442262</v>
      </c>
      <c r="O48" s="232">
        <f t="shared" si="3"/>
        <v>-23390724</v>
      </c>
      <c r="P48" s="164"/>
      <c r="Q48" s="164"/>
      <c r="R48" s="164"/>
      <c r="S48" s="164"/>
      <c r="T48" s="164"/>
      <c r="U48" s="164"/>
      <c r="V48" s="164"/>
      <c r="W48" s="164"/>
      <c r="X48" s="164"/>
    </row>
    <row r="49" spans="1:24">
      <c r="A49" s="903"/>
      <c r="B49" s="903"/>
      <c r="C49" s="904"/>
      <c r="D49" s="904"/>
      <c r="E49" s="904"/>
      <c r="F49" s="904"/>
      <c r="G49" s="904"/>
      <c r="H49" s="904"/>
      <c r="I49" s="904"/>
      <c r="J49" s="904"/>
      <c r="K49" s="904"/>
      <c r="L49" s="904"/>
      <c r="M49" s="904"/>
      <c r="N49" s="904"/>
      <c r="O49" s="904"/>
    </row>
    <row r="50" spans="1:24" s="165" customFormat="1" ht="15.75">
      <c r="A50" s="902" t="s">
        <v>77</v>
      </c>
      <c r="B50" s="902"/>
      <c r="C50" s="169">
        <f t="shared" ref="C50:O50" si="7">SUM(C48,C20,C11)+C41</f>
        <v>1033138958</v>
      </c>
      <c r="D50" s="169">
        <f t="shared" si="7"/>
        <v>34546345</v>
      </c>
      <c r="E50" s="169">
        <f t="shared" si="7"/>
        <v>1135027</v>
      </c>
      <c r="F50" s="169">
        <f t="shared" si="7"/>
        <v>594721356</v>
      </c>
      <c r="G50" s="169">
        <f t="shared" si="7"/>
        <v>388199158</v>
      </c>
      <c r="H50" s="169">
        <f t="shared" si="7"/>
        <v>242110</v>
      </c>
      <c r="I50" s="169">
        <f t="shared" si="7"/>
        <v>0</v>
      </c>
      <c r="J50" s="169">
        <f t="shared" si="7"/>
        <v>0</v>
      </c>
      <c r="K50" s="169">
        <f t="shared" si="7"/>
        <v>0</v>
      </c>
      <c r="L50" s="169">
        <f t="shared" si="7"/>
        <v>88915099</v>
      </c>
      <c r="M50" s="169">
        <f t="shared" si="7"/>
        <v>0</v>
      </c>
      <c r="N50" s="169">
        <f t="shared" si="7"/>
        <v>1107759095</v>
      </c>
      <c r="O50" s="169">
        <f t="shared" si="7"/>
        <v>-74620137</v>
      </c>
      <c r="P50" s="164"/>
      <c r="Q50" s="164"/>
      <c r="R50" s="164"/>
      <c r="S50" s="164"/>
      <c r="T50" s="164"/>
      <c r="U50" s="164"/>
      <c r="V50" s="164"/>
      <c r="W50" s="164"/>
      <c r="X50" s="164"/>
    </row>
    <row r="51" spans="1:24"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</row>
    <row r="52" spans="1:24"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</row>
    <row r="53" spans="1:24"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</row>
    <row r="54" spans="1:24"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</row>
    <row r="55" spans="1:24"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</row>
    <row r="56" spans="1:24"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</row>
    <row r="57" spans="1:24"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</row>
    <row r="58" spans="1:24"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</row>
    <row r="59" spans="1:24"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</row>
    <row r="60" spans="1:24"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</row>
    <row r="61" spans="1:24"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</row>
    <row r="62" spans="1:24"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</row>
    <row r="63" spans="1:24"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</row>
    <row r="64" spans="1:24"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</row>
    <row r="65" spans="3:15"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</row>
    <row r="66" spans="3:15"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</row>
    <row r="67" spans="3:15"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</row>
    <row r="68" spans="3:15"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</row>
    <row r="69" spans="3:15"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</row>
    <row r="70" spans="3:15"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</row>
    <row r="71" spans="3:15"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</row>
    <row r="72" spans="3:15"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</row>
    <row r="73" spans="3:15"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</row>
    <row r="74" spans="3:15"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</row>
    <row r="75" spans="3:15"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</row>
    <row r="76" spans="3:15"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</row>
    <row r="77" spans="3:15"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</row>
  </sheetData>
  <mergeCells count="20">
    <mergeCell ref="A11:B11"/>
    <mergeCell ref="A20:B20"/>
    <mergeCell ref="A50:B50"/>
    <mergeCell ref="A49:B49"/>
    <mergeCell ref="C49:O49"/>
    <mergeCell ref="A1:O2"/>
    <mergeCell ref="I3:I4"/>
    <mergeCell ref="H3:H4"/>
    <mergeCell ref="G3:G4"/>
    <mergeCell ref="F3:F4"/>
    <mergeCell ref="O3:O4"/>
    <mergeCell ref="N3:N4"/>
    <mergeCell ref="M3:M4"/>
    <mergeCell ref="L3:L4"/>
    <mergeCell ref="A3:B3"/>
    <mergeCell ref="C3:C4"/>
    <mergeCell ref="D3:D4"/>
    <mergeCell ref="E3:E4"/>
    <mergeCell ref="K3:K4"/>
    <mergeCell ref="J3:J4"/>
  </mergeCells>
  <phoneticPr fontId="12" type="noConversion"/>
  <pageMargins left="0.65" right="0.17" top="0.69" bottom="0.41" header="0.37" footer="0.22"/>
  <pageSetup paperSize="9" scale="54" orientation="landscape" r:id="rId1"/>
  <headerFooter alignWithMargins="0">
    <oddHeader>&amp;R12. számú melléklet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4" tint="0.59999389629810485"/>
  </sheetPr>
  <dimension ref="A1:AD266"/>
  <sheetViews>
    <sheetView zoomScaleNormal="100" workbookViewId="0">
      <pane ySplit="3" topLeftCell="A217" activePane="bottomLeft" state="frozen"/>
      <selection activeCell="A26" sqref="A26:B26"/>
      <selection pane="bottomLeft" activeCell="C45" sqref="C45"/>
    </sheetView>
  </sheetViews>
  <sheetFormatPr defaultRowHeight="12.75"/>
  <cols>
    <col min="1" max="2" width="17.7109375" style="24" customWidth="1"/>
    <col min="3" max="3" width="39.28515625" style="24" customWidth="1"/>
    <col min="4" max="4" width="16.28515625" style="24" bestFit="1" customWidth="1"/>
    <col min="5" max="5" width="14.85546875" style="24" bestFit="1" customWidth="1"/>
    <col min="6" max="6" width="15.85546875" style="24" customWidth="1"/>
    <col min="7" max="7" width="16.140625" style="24" bestFit="1" customWidth="1"/>
    <col min="8" max="8" width="16.28515625" style="24" bestFit="1" customWidth="1"/>
    <col min="9" max="9" width="14.28515625" style="24" customWidth="1"/>
    <col min="10" max="10" width="8.85546875" style="24" customWidth="1"/>
    <col min="11" max="11" width="13.5703125" style="24" customWidth="1"/>
    <col min="12" max="12" width="12" style="24" customWidth="1"/>
    <col min="13" max="13" width="16" style="24" customWidth="1"/>
    <col min="14" max="14" width="12.85546875" style="24" bestFit="1" customWidth="1"/>
    <col min="15" max="15" width="17.7109375" style="24" customWidth="1"/>
    <col min="16" max="16" width="16.85546875" style="24" bestFit="1" customWidth="1"/>
    <col min="17" max="17" width="9.28515625" style="46" bestFit="1" customWidth="1"/>
    <col min="18" max="30" width="9.140625" style="46" customWidth="1"/>
  </cols>
  <sheetData>
    <row r="1" spans="1:30" s="20" customFormat="1" ht="39" customHeight="1">
      <c r="A1" s="905" t="s">
        <v>1100</v>
      </c>
      <c r="B1" s="905"/>
      <c r="C1" s="905"/>
      <c r="D1" s="906"/>
      <c r="E1" s="906"/>
      <c r="F1" s="906"/>
      <c r="G1" s="906"/>
      <c r="H1" s="906"/>
      <c r="I1" s="906"/>
      <c r="J1" s="906"/>
      <c r="K1" s="906"/>
      <c r="L1" s="906"/>
      <c r="M1" s="906"/>
      <c r="N1" s="906"/>
      <c r="O1" s="906"/>
      <c r="P1" s="906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</row>
    <row r="2" spans="1:30" s="46" customForma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30" ht="52.9" customHeight="1">
      <c r="A3" s="897" t="s">
        <v>542</v>
      </c>
      <c r="B3" s="907" t="s">
        <v>505</v>
      </c>
      <c r="C3" s="907"/>
      <c r="D3" s="907" t="s">
        <v>188</v>
      </c>
      <c r="E3" s="907" t="s">
        <v>1109</v>
      </c>
      <c r="F3" s="907" t="s">
        <v>1107</v>
      </c>
      <c r="G3" s="907" t="s">
        <v>1110</v>
      </c>
      <c r="H3" s="907" t="s">
        <v>1172</v>
      </c>
      <c r="I3" s="907" t="s">
        <v>1173</v>
      </c>
      <c r="J3" s="907" t="s">
        <v>924</v>
      </c>
      <c r="K3" s="907" t="s">
        <v>239</v>
      </c>
      <c r="L3" s="907" t="s">
        <v>234</v>
      </c>
      <c r="M3" s="907" t="s">
        <v>421</v>
      </c>
      <c r="N3" s="907" t="s">
        <v>123</v>
      </c>
      <c r="O3" s="907" t="s">
        <v>121</v>
      </c>
      <c r="P3" s="907" t="s">
        <v>421</v>
      </c>
    </row>
    <row r="4" spans="1:30">
      <c r="A4" s="898"/>
      <c r="B4" s="505" t="s">
        <v>504</v>
      </c>
      <c r="C4" s="505" t="s">
        <v>134</v>
      </c>
      <c r="D4" s="907"/>
      <c r="E4" s="907"/>
      <c r="F4" s="907"/>
      <c r="G4" s="907"/>
      <c r="H4" s="907"/>
      <c r="I4" s="907"/>
      <c r="J4" s="907"/>
      <c r="K4" s="907"/>
      <c r="L4" s="907"/>
      <c r="M4" s="907"/>
      <c r="N4" s="907"/>
      <c r="O4" s="907"/>
      <c r="P4" s="907"/>
    </row>
    <row r="5" spans="1:30">
      <c r="A5" s="908" t="s">
        <v>60</v>
      </c>
      <c r="B5" s="506">
        <v>104031</v>
      </c>
      <c r="C5" s="507" t="s">
        <v>524</v>
      </c>
      <c r="D5" s="410">
        <v>83289488</v>
      </c>
      <c r="E5" s="410">
        <v>1364908</v>
      </c>
      <c r="F5" s="410"/>
      <c r="G5" s="410"/>
      <c r="H5" s="410"/>
      <c r="I5" s="410"/>
      <c r="J5" s="410"/>
      <c r="K5" s="410"/>
      <c r="L5" s="410"/>
      <c r="M5" s="410"/>
      <c r="N5" s="410"/>
      <c r="O5" s="410">
        <f t="shared" ref="O5:O45" si="0">SUM(E5:N5)</f>
        <v>1364908</v>
      </c>
      <c r="P5" s="410">
        <f t="shared" ref="P5:P10" si="1">SUM(D5-E5-G5-H5-I5-J5-K5-L5-M5)-F5</f>
        <v>81924580</v>
      </c>
    </row>
    <row r="6" spans="1:30">
      <c r="A6" s="909"/>
      <c r="B6" s="506">
        <v>104035</v>
      </c>
      <c r="C6" s="507" t="s">
        <v>525</v>
      </c>
      <c r="D6" s="410">
        <v>17417019</v>
      </c>
      <c r="E6" s="410">
        <v>1804188</v>
      </c>
      <c r="F6" s="410"/>
      <c r="G6" s="410"/>
      <c r="H6" s="410"/>
      <c r="I6" s="410"/>
      <c r="J6" s="410"/>
      <c r="K6" s="410"/>
      <c r="L6" s="410"/>
      <c r="M6" s="410"/>
      <c r="N6" s="410"/>
      <c r="O6" s="410">
        <f t="shared" si="0"/>
        <v>1804188</v>
      </c>
      <c r="P6" s="410">
        <f t="shared" si="1"/>
        <v>15612831</v>
      </c>
    </row>
    <row r="7" spans="1:30">
      <c r="A7" s="909"/>
      <c r="B7" s="506">
        <v>104036</v>
      </c>
      <c r="C7" s="507" t="s">
        <v>526</v>
      </c>
      <c r="D7" s="410">
        <f>SUM('12'!C7)</f>
        <v>0</v>
      </c>
      <c r="E7" s="410">
        <v>0</v>
      </c>
      <c r="F7" s="410"/>
      <c r="G7" s="410"/>
      <c r="H7" s="410"/>
      <c r="I7" s="410"/>
      <c r="J7" s="410"/>
      <c r="K7" s="410"/>
      <c r="L7" s="410"/>
      <c r="M7" s="410"/>
      <c r="N7" s="410"/>
      <c r="O7" s="410">
        <f t="shared" si="0"/>
        <v>0</v>
      </c>
      <c r="P7" s="410">
        <f t="shared" si="1"/>
        <v>0</v>
      </c>
    </row>
    <row r="8" spans="1:30">
      <c r="A8" s="909"/>
      <c r="B8" s="506">
        <v>104037</v>
      </c>
      <c r="C8" s="507" t="s">
        <v>534</v>
      </c>
      <c r="D8" s="410">
        <f>SUM('12'!C8)</f>
        <v>0</v>
      </c>
      <c r="E8" s="410"/>
      <c r="F8" s="410"/>
      <c r="G8" s="410"/>
      <c r="H8" s="410"/>
      <c r="I8" s="410"/>
      <c r="J8" s="410"/>
      <c r="K8" s="410"/>
      <c r="L8" s="410"/>
      <c r="M8" s="410"/>
      <c r="N8" s="410"/>
      <c r="O8" s="410">
        <f t="shared" si="0"/>
        <v>0</v>
      </c>
      <c r="P8" s="410">
        <f t="shared" si="1"/>
        <v>0</v>
      </c>
    </row>
    <row r="9" spans="1:30">
      <c r="A9" s="909"/>
      <c r="B9" s="508" t="s">
        <v>510</v>
      </c>
      <c r="C9" s="507" t="s">
        <v>533</v>
      </c>
      <c r="D9" s="410">
        <v>0</v>
      </c>
      <c r="E9" s="410"/>
      <c r="F9" s="410"/>
      <c r="G9" s="410"/>
      <c r="H9" s="410"/>
      <c r="I9" s="410"/>
      <c r="J9" s="410"/>
      <c r="K9" s="410"/>
      <c r="L9" s="410"/>
      <c r="M9" s="410"/>
      <c r="N9" s="410"/>
      <c r="O9" s="410">
        <f t="shared" si="0"/>
        <v>0</v>
      </c>
      <c r="P9" s="410">
        <f t="shared" si="1"/>
        <v>0</v>
      </c>
    </row>
    <row r="10" spans="1:30">
      <c r="A10" s="909"/>
      <c r="B10" s="508" t="s">
        <v>508</v>
      </c>
      <c r="C10" s="507" t="s">
        <v>516</v>
      </c>
      <c r="D10" s="410">
        <f>SUM('12'!C10)</f>
        <v>0</v>
      </c>
      <c r="E10" s="410"/>
      <c r="F10" s="410">
        <v>100000</v>
      </c>
      <c r="G10" s="410">
        <v>13554074</v>
      </c>
      <c r="H10" s="410">
        <v>92332066</v>
      </c>
      <c r="I10" s="410"/>
      <c r="J10" s="410"/>
      <c r="K10" s="410"/>
      <c r="L10" s="410"/>
      <c r="M10" s="410">
        <v>7285124</v>
      </c>
      <c r="N10" s="410"/>
      <c r="O10" s="410">
        <f t="shared" si="0"/>
        <v>113271264</v>
      </c>
      <c r="P10" s="410">
        <f t="shared" si="1"/>
        <v>-113271264</v>
      </c>
    </row>
    <row r="11" spans="1:30" s="158" customFormat="1" ht="15.75">
      <c r="A11" s="909"/>
      <c r="B11" s="900" t="s">
        <v>29</v>
      </c>
      <c r="C11" s="900"/>
      <c r="D11" s="168">
        <f>SUM(D5:D10)</f>
        <v>100706507</v>
      </c>
      <c r="E11" s="168">
        <f>SUM(E5:E8)</f>
        <v>3169096</v>
      </c>
      <c r="F11" s="168">
        <f>SUM(F5:F10)</f>
        <v>100000</v>
      </c>
      <c r="G11" s="168">
        <f>SUM(G5:G10)</f>
        <v>13554074</v>
      </c>
      <c r="H11" s="168">
        <f>SUM(H5:H10)</f>
        <v>92332066</v>
      </c>
      <c r="I11" s="168">
        <f t="shared" ref="I11:N11" si="2">SUM(I5:I8)</f>
        <v>0</v>
      </c>
      <c r="J11" s="168">
        <f t="shared" si="2"/>
        <v>0</v>
      </c>
      <c r="K11" s="168">
        <f t="shared" si="2"/>
        <v>0</v>
      </c>
      <c r="L11" s="168">
        <f t="shared" si="2"/>
        <v>0</v>
      </c>
      <c r="M11" s="168">
        <f>SUM(M5:M10)</f>
        <v>7285124</v>
      </c>
      <c r="N11" s="168">
        <f t="shared" si="2"/>
        <v>0</v>
      </c>
      <c r="O11" s="236">
        <f t="shared" si="0"/>
        <v>116440360</v>
      </c>
      <c r="P11" s="236">
        <f t="shared" ref="P11:P46" si="3">SUM(D11-E11-G11-H11-I11-J11-K11-L11-M11)-F11-N11</f>
        <v>-15733853</v>
      </c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</row>
    <row r="12" spans="1:30">
      <c r="A12" s="909"/>
      <c r="B12" s="506">
        <v>107052</v>
      </c>
      <c r="C12" s="507" t="s">
        <v>518</v>
      </c>
      <c r="D12" s="410">
        <f>59467450+7779518</f>
        <v>67246968</v>
      </c>
      <c r="E12" s="410">
        <v>5476547</v>
      </c>
      <c r="F12" s="410"/>
      <c r="G12" s="410"/>
      <c r="H12" s="410"/>
      <c r="I12" s="410"/>
      <c r="J12" s="410"/>
      <c r="K12" s="410"/>
      <c r="L12" s="410"/>
      <c r="M12" s="410"/>
      <c r="N12" s="410"/>
      <c r="O12" s="410">
        <f t="shared" si="0"/>
        <v>5476547</v>
      </c>
      <c r="P12" s="410">
        <f>D12-E12-F12-G12-H12-I12-J12-K12-L12-M12-N12</f>
        <v>61770421</v>
      </c>
    </row>
    <row r="13" spans="1:30">
      <c r="A13" s="909"/>
      <c r="B13" s="506">
        <v>107053</v>
      </c>
      <c r="C13" s="507" t="s">
        <v>519</v>
      </c>
      <c r="D13" s="410">
        <v>6264195</v>
      </c>
      <c r="E13" s="410">
        <v>1672530</v>
      </c>
      <c r="F13" s="410"/>
      <c r="G13" s="410"/>
      <c r="H13" s="410"/>
      <c r="I13" s="410"/>
      <c r="J13" s="410"/>
      <c r="K13" s="410"/>
      <c r="L13" s="410"/>
      <c r="M13" s="410"/>
      <c r="N13" s="410"/>
      <c r="O13" s="410">
        <f t="shared" si="0"/>
        <v>1672530</v>
      </c>
      <c r="P13" s="410">
        <f t="shared" ref="P13:P19" si="4">D13-E13-F13-G13-H13-I13-J13-K13-L13-M13-N13</f>
        <v>4591665</v>
      </c>
    </row>
    <row r="14" spans="1:30">
      <c r="A14" s="909"/>
      <c r="B14" s="506">
        <v>107051</v>
      </c>
      <c r="C14" s="507" t="s">
        <v>194</v>
      </c>
      <c r="D14" s="410">
        <f>19271389+916361</f>
        <v>20187750</v>
      </c>
      <c r="E14" s="410">
        <v>8297730</v>
      </c>
      <c r="F14" s="410"/>
      <c r="G14" s="410"/>
      <c r="H14" s="410"/>
      <c r="I14" s="410"/>
      <c r="J14" s="410"/>
      <c r="K14" s="410"/>
      <c r="L14" s="410"/>
      <c r="M14" s="410"/>
      <c r="N14" s="410"/>
      <c r="O14" s="410">
        <f t="shared" si="0"/>
        <v>8297730</v>
      </c>
      <c r="P14" s="410">
        <f t="shared" si="4"/>
        <v>11890020</v>
      </c>
    </row>
    <row r="15" spans="1:30">
      <c r="A15" s="909"/>
      <c r="B15" s="506">
        <v>102031</v>
      </c>
      <c r="C15" s="507" t="s">
        <v>520</v>
      </c>
      <c r="D15" s="410">
        <f>7162575+769677</f>
        <v>7932252</v>
      </c>
      <c r="E15" s="410">
        <v>136440</v>
      </c>
      <c r="F15" s="410"/>
      <c r="G15" s="410"/>
      <c r="H15" s="410"/>
      <c r="I15" s="410"/>
      <c r="J15" s="410"/>
      <c r="K15" s="410"/>
      <c r="L15" s="410"/>
      <c r="M15" s="410"/>
      <c r="N15" s="410"/>
      <c r="O15" s="410">
        <f>SUM(E15:N15)</f>
        <v>136440</v>
      </c>
      <c r="P15" s="410">
        <f t="shared" si="4"/>
        <v>7795812</v>
      </c>
    </row>
    <row r="16" spans="1:30">
      <c r="A16" s="909"/>
      <c r="B16" s="506">
        <v>102032</v>
      </c>
      <c r="C16" s="507" t="s">
        <v>883</v>
      </c>
      <c r="D16" s="410">
        <f>13500243+593721</f>
        <v>14093964</v>
      </c>
      <c r="E16" s="410">
        <v>685940</v>
      </c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410"/>
    </row>
    <row r="17" spans="1:30">
      <c r="A17" s="909"/>
      <c r="B17" s="506">
        <v>107013</v>
      </c>
      <c r="C17" s="507" t="s">
        <v>532</v>
      </c>
      <c r="D17" s="410">
        <f>28120677+2576079</f>
        <v>30696756</v>
      </c>
      <c r="E17" s="410">
        <v>2809120</v>
      </c>
      <c r="F17" s="410"/>
      <c r="G17" s="410"/>
      <c r="H17" s="410"/>
      <c r="I17" s="410"/>
      <c r="J17" s="410"/>
      <c r="K17" s="410"/>
      <c r="L17" s="410"/>
      <c r="M17" s="410"/>
      <c r="N17" s="410"/>
      <c r="O17" s="410">
        <f t="shared" si="0"/>
        <v>2809120</v>
      </c>
      <c r="P17" s="410">
        <f t="shared" si="4"/>
        <v>27887636</v>
      </c>
    </row>
    <row r="18" spans="1:30">
      <c r="A18" s="909"/>
      <c r="B18" s="508" t="s">
        <v>510</v>
      </c>
      <c r="C18" s="507" t="s">
        <v>533</v>
      </c>
      <c r="D18" s="410"/>
      <c r="E18" s="410"/>
      <c r="F18" s="410"/>
      <c r="G18" s="410"/>
      <c r="H18" s="410"/>
      <c r="I18" s="410"/>
      <c r="J18" s="410"/>
      <c r="K18" s="410"/>
      <c r="L18" s="410"/>
      <c r="M18" s="410"/>
      <c r="N18" s="410"/>
      <c r="O18" s="410">
        <f t="shared" si="0"/>
        <v>0</v>
      </c>
      <c r="P18" s="410">
        <f t="shared" si="4"/>
        <v>0</v>
      </c>
    </row>
    <row r="19" spans="1:30">
      <c r="A19" s="909"/>
      <c r="B19" s="508" t="s">
        <v>508</v>
      </c>
      <c r="C19" s="507" t="s">
        <v>516</v>
      </c>
      <c r="D19" s="410"/>
      <c r="E19" s="410"/>
      <c r="F19" s="410">
        <v>450000</v>
      </c>
      <c r="G19" s="410">
        <v>30259903</v>
      </c>
      <c r="H19" s="410">
        <v>89558230</v>
      </c>
      <c r="I19" s="410"/>
      <c r="J19" s="410"/>
      <c r="K19" s="410"/>
      <c r="L19" s="410"/>
      <c r="M19" s="410">
        <v>23135313</v>
      </c>
      <c r="N19" s="410"/>
      <c r="O19" s="410">
        <f t="shared" si="0"/>
        <v>143403446</v>
      </c>
      <c r="P19" s="410">
        <f t="shared" si="4"/>
        <v>-143403446</v>
      </c>
    </row>
    <row r="20" spans="1:30" s="158" customFormat="1" ht="15.75">
      <c r="A20" s="909"/>
      <c r="B20" s="901" t="s">
        <v>30</v>
      </c>
      <c r="C20" s="901"/>
      <c r="D20" s="163">
        <f>SUM(D12:D19)</f>
        <v>146421885</v>
      </c>
      <c r="E20" s="163">
        <f>SUM(E12:E19)</f>
        <v>19078307</v>
      </c>
      <c r="F20" s="163">
        <f>SUM(F12:F19)</f>
        <v>450000</v>
      </c>
      <c r="G20" s="163">
        <f>SUM(G12:G19)</f>
        <v>30259903</v>
      </c>
      <c r="H20" s="163">
        <f>SUM(H12:H19)</f>
        <v>89558230</v>
      </c>
      <c r="I20" s="163">
        <f t="shared" ref="I20:N20" si="5">SUM(I12:I18)</f>
        <v>0</v>
      </c>
      <c r="J20" s="163">
        <f t="shared" si="5"/>
        <v>0</v>
      </c>
      <c r="K20" s="163">
        <f t="shared" si="5"/>
        <v>0</v>
      </c>
      <c r="L20" s="163">
        <f t="shared" si="5"/>
        <v>0</v>
      </c>
      <c r="M20" s="163">
        <f>SUM(M12:M19)</f>
        <v>23135313</v>
      </c>
      <c r="N20" s="163">
        <f t="shared" si="5"/>
        <v>0</v>
      </c>
      <c r="O20" s="237">
        <f t="shared" si="0"/>
        <v>162481753</v>
      </c>
      <c r="P20" s="237">
        <f t="shared" si="3"/>
        <v>-16059868</v>
      </c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</row>
    <row r="21" spans="1:30" ht="13.5" customHeight="1">
      <c r="A21" s="909"/>
      <c r="B21" s="508" t="s">
        <v>506</v>
      </c>
      <c r="C21" s="507" t="s">
        <v>512</v>
      </c>
      <c r="D21" s="410">
        <v>5206076</v>
      </c>
      <c r="E21" s="410">
        <v>3687</v>
      </c>
      <c r="F21" s="410"/>
      <c r="G21" s="410"/>
      <c r="H21" s="410"/>
      <c r="I21" s="410"/>
      <c r="J21" s="410"/>
      <c r="K21" s="410"/>
      <c r="L21" s="410"/>
      <c r="M21" s="410"/>
      <c r="N21" s="410"/>
      <c r="O21" s="410">
        <f t="shared" si="0"/>
        <v>3687</v>
      </c>
      <c r="P21" s="410">
        <f t="shared" si="3"/>
        <v>5202389</v>
      </c>
    </row>
    <row r="22" spans="1:30" ht="30.75" customHeight="1">
      <c r="A22" s="909"/>
      <c r="B22" s="508" t="s">
        <v>508</v>
      </c>
      <c r="C22" s="511" t="s">
        <v>1193</v>
      </c>
      <c r="D22" s="410"/>
      <c r="E22" s="410"/>
      <c r="F22" s="410"/>
      <c r="G22" s="410"/>
      <c r="H22" s="410"/>
      <c r="I22" s="410"/>
      <c r="J22" s="410"/>
      <c r="K22" s="410"/>
      <c r="L22" s="410"/>
      <c r="M22" s="410">
        <v>17806471</v>
      </c>
      <c r="N22" s="410"/>
      <c r="O22" s="410">
        <f t="shared" si="0"/>
        <v>17806471</v>
      </c>
      <c r="P22" s="410">
        <f t="shared" si="3"/>
        <v>-17806471</v>
      </c>
    </row>
    <row r="23" spans="1:30" ht="25.5">
      <c r="A23" s="909"/>
      <c r="B23" s="509" t="s">
        <v>884</v>
      </c>
      <c r="C23" s="510" t="s">
        <v>1193</v>
      </c>
      <c r="D23" s="410">
        <v>24596135</v>
      </c>
      <c r="E23" s="410"/>
      <c r="F23" s="410"/>
      <c r="G23" s="410"/>
      <c r="H23" s="410"/>
      <c r="I23" s="410"/>
      <c r="J23" s="410"/>
      <c r="K23" s="410"/>
      <c r="L23" s="410"/>
      <c r="M23" s="410"/>
      <c r="N23" s="410"/>
      <c r="O23" s="410">
        <f t="shared" si="0"/>
        <v>0</v>
      </c>
      <c r="P23" s="410">
        <f t="shared" si="3"/>
        <v>24596135</v>
      </c>
    </row>
    <row r="24" spans="1:30" ht="13.5" customHeight="1">
      <c r="A24" s="909"/>
      <c r="B24" s="508" t="s">
        <v>513</v>
      </c>
      <c r="C24" s="507" t="s">
        <v>514</v>
      </c>
      <c r="D24" s="410">
        <v>33692196</v>
      </c>
      <c r="E24" s="410"/>
      <c r="F24" s="410"/>
      <c r="G24" s="410"/>
      <c r="H24" s="410"/>
      <c r="I24" s="410"/>
      <c r="J24" s="410"/>
      <c r="K24" s="410"/>
      <c r="L24" s="410"/>
      <c r="M24" s="410"/>
      <c r="N24" s="410"/>
      <c r="O24" s="410">
        <f t="shared" si="0"/>
        <v>0</v>
      </c>
      <c r="P24" s="410">
        <f t="shared" si="3"/>
        <v>33692196</v>
      </c>
    </row>
    <row r="25" spans="1:30" ht="13.5" customHeight="1">
      <c r="A25" s="909"/>
      <c r="B25" s="508" t="s">
        <v>508</v>
      </c>
      <c r="C25" s="507" t="s">
        <v>516</v>
      </c>
      <c r="D25" s="410">
        <v>420757753</v>
      </c>
      <c r="E25" s="410"/>
      <c r="F25" s="410">
        <v>335027</v>
      </c>
      <c r="G25" s="410">
        <v>472921672</v>
      </c>
      <c r="H25" s="410"/>
      <c r="I25" s="410"/>
      <c r="J25" s="410"/>
      <c r="K25" s="410"/>
      <c r="L25" s="410"/>
      <c r="M25" s="410">
        <v>11450922</v>
      </c>
      <c r="N25" s="410"/>
      <c r="O25" s="410">
        <f t="shared" si="0"/>
        <v>484707621</v>
      </c>
      <c r="P25" s="410">
        <f t="shared" si="3"/>
        <v>-63949868</v>
      </c>
    </row>
    <row r="26" spans="1:30" ht="13.5" customHeight="1">
      <c r="A26" s="909"/>
      <c r="B26" s="508" t="s">
        <v>508</v>
      </c>
      <c r="C26" s="507" t="s">
        <v>1003</v>
      </c>
      <c r="D26" s="410"/>
      <c r="E26" s="410"/>
      <c r="F26" s="410"/>
      <c r="G26" s="410"/>
      <c r="H26" s="410"/>
      <c r="I26" s="410"/>
      <c r="J26" s="410"/>
      <c r="K26" s="410"/>
      <c r="L26" s="410"/>
      <c r="M26" s="410">
        <v>93998</v>
      </c>
      <c r="N26" s="410"/>
      <c r="O26" s="410">
        <f t="shared" si="0"/>
        <v>93998</v>
      </c>
      <c r="P26" s="410">
        <f t="shared" si="3"/>
        <v>-93998</v>
      </c>
    </row>
    <row r="27" spans="1:30" ht="13.5" customHeight="1">
      <c r="A27" s="909"/>
      <c r="B27" s="508" t="s">
        <v>509</v>
      </c>
      <c r="C27" s="507" t="s">
        <v>511</v>
      </c>
      <c r="D27" s="410"/>
      <c r="E27" s="410"/>
      <c r="F27" s="410"/>
      <c r="G27" s="410"/>
      <c r="H27" s="410"/>
      <c r="I27" s="410"/>
      <c r="J27" s="410"/>
      <c r="K27" s="410"/>
      <c r="L27" s="410"/>
      <c r="M27" s="410"/>
      <c r="N27" s="410"/>
      <c r="O27" s="410">
        <f t="shared" si="0"/>
        <v>0</v>
      </c>
      <c r="P27" s="410">
        <f t="shared" si="3"/>
        <v>0</v>
      </c>
    </row>
    <row r="28" spans="1:30" ht="13.5" customHeight="1">
      <c r="A28" s="909"/>
      <c r="B28" s="506">
        <v>107052</v>
      </c>
      <c r="C28" s="507" t="s">
        <v>518</v>
      </c>
      <c r="D28" s="410"/>
      <c r="E28" s="410"/>
      <c r="F28" s="410"/>
      <c r="G28" s="410"/>
      <c r="H28" s="410"/>
      <c r="I28" s="410"/>
      <c r="J28" s="410"/>
      <c r="K28" s="410"/>
      <c r="L28" s="410"/>
      <c r="M28" s="410"/>
      <c r="N28" s="410"/>
      <c r="O28" s="410">
        <f t="shared" si="0"/>
        <v>0</v>
      </c>
      <c r="P28" s="410">
        <f t="shared" si="3"/>
        <v>0</v>
      </c>
    </row>
    <row r="29" spans="1:30" ht="13.5" customHeight="1">
      <c r="A29" s="909"/>
      <c r="B29" s="506">
        <v>107051</v>
      </c>
      <c r="C29" s="507" t="s">
        <v>194</v>
      </c>
      <c r="D29" s="410"/>
      <c r="E29" s="410"/>
      <c r="F29" s="410"/>
      <c r="G29" s="410"/>
      <c r="H29" s="410"/>
      <c r="I29" s="410"/>
      <c r="J29" s="410"/>
      <c r="K29" s="410"/>
      <c r="L29" s="410"/>
      <c r="M29" s="410"/>
      <c r="N29" s="410"/>
      <c r="O29" s="410">
        <f t="shared" si="0"/>
        <v>0</v>
      </c>
      <c r="P29" s="410">
        <f t="shared" si="3"/>
        <v>0</v>
      </c>
    </row>
    <row r="30" spans="1:30" ht="13.5" customHeight="1">
      <c r="A30" s="909"/>
      <c r="B30" s="506">
        <v>107053</v>
      </c>
      <c r="C30" s="507" t="s">
        <v>519</v>
      </c>
      <c r="D30" s="410"/>
      <c r="E30" s="410"/>
      <c r="F30" s="410"/>
      <c r="G30" s="410"/>
      <c r="H30" s="410"/>
      <c r="I30" s="410"/>
      <c r="J30" s="410"/>
      <c r="K30" s="410"/>
      <c r="L30" s="410"/>
      <c r="M30" s="410"/>
      <c r="N30" s="410"/>
      <c r="O30" s="410">
        <f t="shared" si="0"/>
        <v>0</v>
      </c>
      <c r="P30" s="410">
        <f t="shared" si="3"/>
        <v>0</v>
      </c>
    </row>
    <row r="31" spans="1:30" ht="27.75" customHeight="1">
      <c r="A31" s="909"/>
      <c r="B31" s="508" t="s">
        <v>508</v>
      </c>
      <c r="C31" s="511" t="s">
        <v>965</v>
      </c>
      <c r="D31" s="410">
        <v>405251</v>
      </c>
      <c r="E31" s="410"/>
      <c r="F31" s="410"/>
      <c r="G31" s="410"/>
      <c r="H31" s="410"/>
      <c r="I31" s="410"/>
      <c r="J31" s="410"/>
      <c r="K31" s="410"/>
      <c r="L31" s="410"/>
      <c r="M31" s="410">
        <v>405251</v>
      </c>
      <c r="N31" s="410"/>
      <c r="O31" s="410">
        <f t="shared" si="0"/>
        <v>405251</v>
      </c>
      <c r="P31" s="410">
        <f t="shared" si="3"/>
        <v>0</v>
      </c>
    </row>
    <row r="32" spans="1:30" ht="27.75" customHeight="1">
      <c r="A32" s="909"/>
      <c r="B32" s="506">
        <v>107013</v>
      </c>
      <c r="C32" s="511" t="s">
        <v>965</v>
      </c>
      <c r="D32" s="410"/>
      <c r="E32" s="410"/>
      <c r="F32" s="410"/>
      <c r="G32" s="410"/>
      <c r="H32" s="410"/>
      <c r="I32" s="410"/>
      <c r="J32" s="410"/>
      <c r="K32" s="410"/>
      <c r="L32" s="410"/>
      <c r="M32" s="410"/>
      <c r="N32" s="410"/>
      <c r="O32" s="410">
        <f t="shared" si="0"/>
        <v>0</v>
      </c>
      <c r="P32" s="410">
        <f t="shared" si="3"/>
        <v>0</v>
      </c>
    </row>
    <row r="33" spans="1:30" ht="13.5" customHeight="1">
      <c r="A33" s="909"/>
      <c r="B33" s="506">
        <v>104042</v>
      </c>
      <c r="C33" s="507" t="s">
        <v>1003</v>
      </c>
      <c r="D33" s="410"/>
      <c r="E33" s="410">
        <v>1</v>
      </c>
      <c r="F33" s="410"/>
      <c r="G33" s="410"/>
      <c r="H33" s="410"/>
      <c r="I33" s="410"/>
      <c r="J33" s="410"/>
      <c r="K33" s="410"/>
      <c r="L33" s="410"/>
      <c r="M33" s="410"/>
      <c r="N33" s="410"/>
      <c r="O33" s="410">
        <f t="shared" si="0"/>
        <v>1</v>
      </c>
      <c r="P33" s="410">
        <f t="shared" si="3"/>
        <v>-1</v>
      </c>
    </row>
    <row r="34" spans="1:30" ht="13.5" customHeight="1">
      <c r="A34" s="909"/>
      <c r="B34" s="506">
        <v>104042</v>
      </c>
      <c r="C34" s="507" t="s">
        <v>522</v>
      </c>
      <c r="D34" s="410"/>
      <c r="E34" s="410"/>
      <c r="F34" s="410"/>
      <c r="G34" s="410"/>
      <c r="H34" s="410"/>
      <c r="I34" s="410"/>
      <c r="J34" s="410"/>
      <c r="K34" s="410"/>
      <c r="L34" s="410"/>
      <c r="M34" s="410"/>
      <c r="N34" s="410"/>
      <c r="O34" s="410">
        <f t="shared" si="0"/>
        <v>0</v>
      </c>
      <c r="P34" s="410">
        <f t="shared" si="3"/>
        <v>0</v>
      </c>
    </row>
    <row r="35" spans="1:30" ht="13.5" customHeight="1">
      <c r="A35" s="909"/>
      <c r="B35" s="506">
        <v>104043</v>
      </c>
      <c r="C35" s="507" t="s">
        <v>523</v>
      </c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  <c r="O35" s="410">
        <f t="shared" si="0"/>
        <v>0</v>
      </c>
      <c r="P35" s="410">
        <f t="shared" si="3"/>
        <v>0</v>
      </c>
    </row>
    <row r="36" spans="1:30" ht="13.5" customHeight="1">
      <c r="A36" s="909"/>
      <c r="B36" s="506">
        <v>104031</v>
      </c>
      <c r="C36" s="507" t="s">
        <v>524</v>
      </c>
      <c r="D36" s="410"/>
      <c r="E36" s="410"/>
      <c r="F36" s="410"/>
      <c r="G36" s="410"/>
      <c r="H36" s="410"/>
      <c r="I36" s="410"/>
      <c r="J36" s="410"/>
      <c r="K36" s="410"/>
      <c r="L36" s="410"/>
      <c r="M36" s="410"/>
      <c r="N36" s="410"/>
      <c r="O36" s="410">
        <f t="shared" si="0"/>
        <v>0</v>
      </c>
      <c r="P36" s="410">
        <f t="shared" si="3"/>
        <v>0</v>
      </c>
    </row>
    <row r="37" spans="1:30" ht="13.5" customHeight="1">
      <c r="A37" s="909"/>
      <c r="B37" s="506">
        <v>104035</v>
      </c>
      <c r="C37" s="507" t="s">
        <v>525</v>
      </c>
      <c r="D37" s="410"/>
      <c r="E37" s="410"/>
      <c r="F37" s="410"/>
      <c r="G37" s="410"/>
      <c r="H37" s="410"/>
      <c r="I37" s="410"/>
      <c r="J37" s="410"/>
      <c r="K37" s="410"/>
      <c r="L37" s="410"/>
      <c r="M37" s="410"/>
      <c r="N37" s="410"/>
      <c r="O37" s="410">
        <f t="shared" si="0"/>
        <v>0</v>
      </c>
      <c r="P37" s="410">
        <f t="shared" si="3"/>
        <v>0</v>
      </c>
    </row>
    <row r="38" spans="1:30" ht="13.5" customHeight="1">
      <c r="A38" s="909"/>
      <c r="B38" s="506">
        <v>104037</v>
      </c>
      <c r="C38" s="507" t="s">
        <v>534</v>
      </c>
      <c r="D38" s="410"/>
      <c r="E38" s="410"/>
      <c r="F38" s="410"/>
      <c r="G38" s="410"/>
      <c r="H38" s="410"/>
      <c r="I38" s="410"/>
      <c r="J38" s="410"/>
      <c r="K38" s="410"/>
      <c r="L38" s="410"/>
      <c r="M38" s="410"/>
      <c r="N38" s="410"/>
      <c r="O38" s="410">
        <f t="shared" si="0"/>
        <v>0</v>
      </c>
      <c r="P38" s="410">
        <f t="shared" si="3"/>
        <v>0</v>
      </c>
    </row>
    <row r="39" spans="1:30" ht="13.5" customHeight="1">
      <c r="A39" s="909"/>
      <c r="B39" s="506">
        <v>104036</v>
      </c>
      <c r="C39" s="507" t="s">
        <v>526</v>
      </c>
      <c r="D39" s="410"/>
      <c r="E39" s="410"/>
      <c r="F39" s="410"/>
      <c r="G39" s="410"/>
      <c r="H39" s="410"/>
      <c r="I39" s="410"/>
      <c r="J39" s="410"/>
      <c r="K39" s="410"/>
      <c r="L39" s="410"/>
      <c r="M39" s="410"/>
      <c r="N39" s="410"/>
      <c r="O39" s="410">
        <f t="shared" si="0"/>
        <v>0</v>
      </c>
      <c r="P39" s="410">
        <f t="shared" si="3"/>
        <v>0</v>
      </c>
    </row>
    <row r="40" spans="1:30" s="158" customFormat="1" ht="13.5" customHeight="1">
      <c r="A40" s="909"/>
      <c r="B40" s="911" t="s">
        <v>28</v>
      </c>
      <c r="C40" s="911"/>
      <c r="D40" s="166">
        <f>SUM(D21:D39)</f>
        <v>484657411</v>
      </c>
      <c r="E40" s="166">
        <f>SUM(E21:E39)</f>
        <v>3688</v>
      </c>
      <c r="F40" s="166">
        <f>SUM(F21:F39)</f>
        <v>335027</v>
      </c>
      <c r="G40" s="166">
        <f>SUM(G21:G39)</f>
        <v>472921672</v>
      </c>
      <c r="H40" s="166">
        <f>SUM(H21:H39)</f>
        <v>0</v>
      </c>
      <c r="I40" s="166">
        <f>SUM(I21:I24)</f>
        <v>0</v>
      </c>
      <c r="J40" s="166">
        <f>SUM(J21:J26)</f>
        <v>0</v>
      </c>
      <c r="K40" s="166">
        <f>SUM(K21:K24)</f>
        <v>0</v>
      </c>
      <c r="L40" s="166">
        <f>SUM(L21:L24)</f>
        <v>0</v>
      </c>
      <c r="M40" s="166">
        <f>SUM(M21:M39)</f>
        <v>29756642</v>
      </c>
      <c r="N40" s="166">
        <f>SUM(N21:N24)</f>
        <v>0</v>
      </c>
      <c r="O40" s="238">
        <f>SUM(E40:N40)</f>
        <v>503017029</v>
      </c>
      <c r="P40" s="238">
        <f>SUM(D40-E40-G40-H40-I40-J40-K40-L40-M40)-F40-N40</f>
        <v>-18359618</v>
      </c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</row>
    <row r="41" spans="1:30" ht="13.5" customHeight="1">
      <c r="A41" s="909"/>
      <c r="B41" s="506">
        <v>104042</v>
      </c>
      <c r="C41" s="507" t="s">
        <v>522</v>
      </c>
      <c r="D41" s="410">
        <f>48455724+15192030</f>
        <v>63647754</v>
      </c>
      <c r="E41" s="410">
        <v>13285</v>
      </c>
      <c r="F41" s="410"/>
      <c r="G41" s="410"/>
      <c r="H41" s="410"/>
      <c r="I41" s="410"/>
      <c r="J41" s="410"/>
      <c r="K41" s="410"/>
      <c r="L41" s="410"/>
      <c r="M41" s="410"/>
      <c r="N41" s="410"/>
      <c r="O41" s="410">
        <f t="shared" si="0"/>
        <v>13285</v>
      </c>
      <c r="P41" s="410">
        <f t="shared" si="3"/>
        <v>63634469</v>
      </c>
    </row>
    <row r="42" spans="1:30" ht="13.5" customHeight="1">
      <c r="A42" s="909"/>
      <c r="B42" s="506">
        <v>104043</v>
      </c>
      <c r="C42" s="507" t="s">
        <v>523</v>
      </c>
      <c r="D42" s="410">
        <f>39747847+10407865</f>
        <v>50155712</v>
      </c>
      <c r="E42" s="410">
        <v>781</v>
      </c>
      <c r="F42" s="410"/>
      <c r="G42" s="410"/>
      <c r="H42" s="410"/>
      <c r="I42" s="410"/>
      <c r="J42" s="410"/>
      <c r="K42" s="410"/>
      <c r="L42" s="410"/>
      <c r="M42" s="410"/>
      <c r="N42" s="410"/>
      <c r="O42" s="410">
        <f t="shared" si="0"/>
        <v>781</v>
      </c>
      <c r="P42" s="410">
        <f t="shared" si="3"/>
        <v>50154931</v>
      </c>
    </row>
    <row r="43" spans="1:30" ht="28.15" customHeight="1">
      <c r="A43" s="909"/>
      <c r="B43" s="506">
        <v>104042</v>
      </c>
      <c r="C43" s="510" t="s">
        <v>1193</v>
      </c>
      <c r="D43" s="410">
        <v>5175570</v>
      </c>
      <c r="E43" s="410"/>
      <c r="F43" s="410"/>
      <c r="G43" s="410"/>
      <c r="H43" s="410"/>
      <c r="I43" s="410"/>
      <c r="J43" s="410"/>
      <c r="K43" s="410"/>
      <c r="L43" s="410"/>
      <c r="M43" s="410"/>
      <c r="N43" s="410"/>
      <c r="O43" s="410">
        <f t="shared" si="0"/>
        <v>0</v>
      </c>
      <c r="P43" s="410">
        <f t="shared" si="3"/>
        <v>5175570</v>
      </c>
    </row>
    <row r="44" spans="1:30" ht="28.15" customHeight="1">
      <c r="A44" s="909"/>
      <c r="B44" s="508" t="s">
        <v>508</v>
      </c>
      <c r="C44" s="510" t="s">
        <v>1193</v>
      </c>
      <c r="D44" s="410"/>
      <c r="E44" s="410"/>
      <c r="F44" s="410"/>
      <c r="G44" s="410">
        <v>3706868</v>
      </c>
      <c r="H44" s="410"/>
      <c r="I44" s="410"/>
      <c r="J44" s="410"/>
      <c r="K44" s="410"/>
      <c r="L44" s="410"/>
      <c r="M44" s="410">
        <v>1472043</v>
      </c>
      <c r="N44" s="410"/>
      <c r="O44" s="410">
        <f t="shared" ref="O44" si="6">SUM(E44:N44)</f>
        <v>5178911</v>
      </c>
      <c r="P44" s="410">
        <f t="shared" ref="P44" si="7">SUM(D44-E44-G44-H44-I44-J44-K44-L44-M44)-F44-N44</f>
        <v>-5178911</v>
      </c>
    </row>
    <row r="45" spans="1:30">
      <c r="A45" s="909"/>
      <c r="B45" s="506">
        <v>104043</v>
      </c>
      <c r="C45" s="507" t="s">
        <v>882</v>
      </c>
      <c r="D45" s="410">
        <f>15984878+4594171</f>
        <v>20579049</v>
      </c>
      <c r="E45" s="410"/>
      <c r="F45" s="410"/>
      <c r="G45" s="410"/>
      <c r="H45" s="410"/>
      <c r="I45" s="410"/>
      <c r="J45" s="410"/>
      <c r="K45" s="410"/>
      <c r="L45" s="410"/>
      <c r="M45" s="410"/>
      <c r="N45" s="410"/>
      <c r="O45" s="410">
        <f t="shared" si="0"/>
        <v>0</v>
      </c>
      <c r="P45" s="410">
        <f t="shared" si="3"/>
        <v>20579049</v>
      </c>
    </row>
    <row r="46" spans="1:30">
      <c r="A46" s="909"/>
      <c r="B46" s="508" t="s">
        <v>508</v>
      </c>
      <c r="C46" s="507" t="s">
        <v>516</v>
      </c>
      <c r="D46" s="410"/>
      <c r="E46" s="410"/>
      <c r="F46" s="410">
        <v>250000</v>
      </c>
      <c r="G46" s="410">
        <v>56220126</v>
      </c>
      <c r="H46" s="410">
        <f>80464943-242110</f>
        <v>80222833</v>
      </c>
      <c r="I46" s="410">
        <v>242110</v>
      </c>
      <c r="J46" s="410"/>
      <c r="K46" s="410"/>
      <c r="L46" s="410"/>
      <c r="M46" s="410">
        <v>19469396</v>
      </c>
      <c r="N46" s="410"/>
      <c r="O46" s="410">
        <f t="shared" ref="O46" si="8">SUM(E46:N46)</f>
        <v>156404465</v>
      </c>
      <c r="P46" s="410">
        <f t="shared" si="3"/>
        <v>-156404465</v>
      </c>
    </row>
    <row r="47" spans="1:30" s="158" customFormat="1" ht="15.75">
      <c r="A47" s="909"/>
      <c r="B47" s="434" t="s">
        <v>31</v>
      </c>
      <c r="C47" s="434"/>
      <c r="D47" s="167">
        <f>SUM(D41:D46)</f>
        <v>139558085</v>
      </c>
      <c r="E47" s="167">
        <f t="shared" ref="E47:O47" si="9">SUM(E41:E46)</f>
        <v>14066</v>
      </c>
      <c r="F47" s="167">
        <f t="shared" si="9"/>
        <v>250000</v>
      </c>
      <c r="G47" s="167">
        <f t="shared" si="9"/>
        <v>59926994</v>
      </c>
      <c r="H47" s="167">
        <f t="shared" si="9"/>
        <v>80222833</v>
      </c>
      <c r="I47" s="167">
        <f t="shared" si="9"/>
        <v>242110</v>
      </c>
      <c r="J47" s="167">
        <f t="shared" si="9"/>
        <v>0</v>
      </c>
      <c r="K47" s="167">
        <f t="shared" si="9"/>
        <v>0</v>
      </c>
      <c r="L47" s="167">
        <f t="shared" si="9"/>
        <v>0</v>
      </c>
      <c r="M47" s="167">
        <f t="shared" si="9"/>
        <v>20941439</v>
      </c>
      <c r="N47" s="167">
        <f t="shared" si="9"/>
        <v>0</v>
      </c>
      <c r="O47" s="167">
        <f t="shared" si="9"/>
        <v>161597442</v>
      </c>
      <c r="P47" s="167">
        <f>SUM(P41:P46)</f>
        <v>-22039357</v>
      </c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</row>
    <row r="48" spans="1:30">
      <c r="A48" s="909"/>
      <c r="B48" s="899"/>
      <c r="C48" s="899"/>
      <c r="D48" s="899"/>
      <c r="E48" s="899"/>
      <c r="F48" s="899"/>
      <c r="G48" s="899"/>
      <c r="H48" s="899"/>
      <c r="I48" s="899"/>
      <c r="J48" s="899"/>
      <c r="K48" s="899"/>
      <c r="L48" s="899"/>
      <c r="M48" s="899"/>
      <c r="N48" s="899"/>
      <c r="O48" s="899"/>
      <c r="P48" s="899"/>
    </row>
    <row r="49" spans="1:30" s="158" customFormat="1" ht="15.75">
      <c r="A49" s="910"/>
      <c r="B49" s="902" t="s">
        <v>122</v>
      </c>
      <c r="C49" s="902"/>
      <c r="D49" s="169">
        <f t="shared" ref="D49:O49" si="10">SUM(D47,D20,D11)+D40</f>
        <v>871343888</v>
      </c>
      <c r="E49" s="169">
        <f t="shared" si="10"/>
        <v>22265157</v>
      </c>
      <c r="F49" s="169">
        <f t="shared" si="10"/>
        <v>1135027</v>
      </c>
      <c r="G49" s="169">
        <f t="shared" si="10"/>
        <v>576662643</v>
      </c>
      <c r="H49" s="169">
        <f t="shared" si="10"/>
        <v>262113129</v>
      </c>
      <c r="I49" s="169">
        <f t="shared" si="10"/>
        <v>242110</v>
      </c>
      <c r="J49" s="169">
        <f t="shared" si="10"/>
        <v>0</v>
      </c>
      <c r="K49" s="169">
        <f t="shared" si="10"/>
        <v>0</v>
      </c>
      <c r="L49" s="169">
        <f t="shared" si="10"/>
        <v>0</v>
      </c>
      <c r="M49" s="169">
        <f t="shared" si="10"/>
        <v>81118518</v>
      </c>
      <c r="N49" s="169">
        <f t="shared" si="10"/>
        <v>0</v>
      </c>
      <c r="O49" s="169">
        <f t="shared" si="10"/>
        <v>943536584</v>
      </c>
      <c r="P49" s="169">
        <f>SUM(D49-E49-G49-H49-I49-J49-K49-L49-M49)-F49</f>
        <v>-72192696</v>
      </c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</row>
    <row r="50" spans="1:30">
      <c r="A50" s="912"/>
      <c r="B50" s="912"/>
      <c r="C50" s="912"/>
      <c r="D50" s="912"/>
      <c r="E50" s="912"/>
      <c r="F50" s="912"/>
      <c r="G50" s="912"/>
      <c r="H50" s="912"/>
      <c r="I50" s="912"/>
      <c r="J50" s="912"/>
      <c r="K50" s="912"/>
      <c r="L50" s="912"/>
      <c r="M50" s="912"/>
      <c r="N50" s="912"/>
      <c r="O50" s="912"/>
      <c r="P50" s="913"/>
    </row>
    <row r="51" spans="1:30">
      <c r="A51" s="914"/>
      <c r="B51" s="914"/>
      <c r="C51" s="914"/>
      <c r="D51" s="914"/>
      <c r="E51" s="914"/>
      <c r="F51" s="914"/>
      <c r="G51" s="914"/>
      <c r="H51" s="914"/>
      <c r="I51" s="914"/>
      <c r="J51" s="914"/>
      <c r="K51" s="914"/>
      <c r="L51" s="914"/>
      <c r="M51" s="914"/>
      <c r="N51" s="914"/>
      <c r="O51" s="914"/>
      <c r="P51" s="915"/>
    </row>
    <row r="52" spans="1:30">
      <c r="A52" s="908" t="s">
        <v>249</v>
      </c>
      <c r="B52" s="506">
        <v>107052</v>
      </c>
      <c r="C52" s="507" t="s">
        <v>518</v>
      </c>
      <c r="D52" s="5">
        <f>7161170+823651</f>
        <v>7984821</v>
      </c>
      <c r="E52" s="410">
        <v>1042920</v>
      </c>
      <c r="F52" s="410"/>
      <c r="G52" s="410"/>
      <c r="H52" s="410"/>
      <c r="I52" s="410"/>
      <c r="J52" s="410"/>
      <c r="K52" s="410"/>
      <c r="L52" s="410"/>
      <c r="M52" s="410"/>
      <c r="N52" s="410"/>
      <c r="O52" s="5">
        <f t="shared" ref="O52:O58" si="11">SUM(E52:N52)</f>
        <v>1042920</v>
      </c>
      <c r="P52" s="410">
        <f>D52-E52-F52-G52-H52-I52-J52-K52-L52-M52-N52</f>
        <v>6941901</v>
      </c>
    </row>
    <row r="53" spans="1:30">
      <c r="A53" s="909"/>
      <c r="B53" s="508" t="s">
        <v>510</v>
      </c>
      <c r="C53" s="507" t="s">
        <v>533</v>
      </c>
      <c r="D53" s="5">
        <v>1087838</v>
      </c>
      <c r="E53" s="410"/>
      <c r="F53" s="410"/>
      <c r="G53" s="410"/>
      <c r="H53" s="410"/>
      <c r="I53" s="410"/>
      <c r="J53" s="410"/>
      <c r="K53" s="410"/>
      <c r="L53" s="410"/>
      <c r="M53" s="410"/>
      <c r="N53" s="410"/>
      <c r="O53" s="5">
        <f t="shared" si="11"/>
        <v>0</v>
      </c>
      <c r="P53" s="410">
        <f>D53-E53-F53-G53-H53-I53-J53-K53-L53-M53-N53</f>
        <v>1087838</v>
      </c>
    </row>
    <row r="54" spans="1:30">
      <c r="A54" s="909"/>
      <c r="B54" s="508" t="s">
        <v>508</v>
      </c>
      <c r="C54" s="507" t="s">
        <v>516</v>
      </c>
      <c r="D54" s="5"/>
      <c r="E54" s="410"/>
      <c r="F54" s="410"/>
      <c r="G54" s="410">
        <v>1087838</v>
      </c>
      <c r="H54" s="410">
        <v>6941901</v>
      </c>
      <c r="I54" s="410"/>
      <c r="J54" s="410"/>
      <c r="K54" s="410"/>
      <c r="L54" s="410"/>
      <c r="M54" s="410">
        <v>0</v>
      </c>
      <c r="N54" s="410"/>
      <c r="O54" s="5">
        <f t="shared" si="11"/>
        <v>8029739</v>
      </c>
      <c r="P54" s="410">
        <f>D54-E54-F54-G54-H54-I54-J54-K54-L54-M54-N54</f>
        <v>-8029739</v>
      </c>
    </row>
    <row r="55" spans="1:30" s="20" customFormat="1">
      <c r="A55" s="909"/>
      <c r="B55" s="916" t="s">
        <v>30</v>
      </c>
      <c r="C55" s="917"/>
      <c r="D55" s="160">
        <f>SUM(D52:D54)</f>
        <v>9072659</v>
      </c>
      <c r="E55" s="160">
        <f t="shared" ref="E55:N55" si="12">SUM(E52:E54)</f>
        <v>1042920</v>
      </c>
      <c r="F55" s="160">
        <f t="shared" si="12"/>
        <v>0</v>
      </c>
      <c r="G55" s="160">
        <f t="shared" si="12"/>
        <v>1087838</v>
      </c>
      <c r="H55" s="160">
        <f t="shared" si="12"/>
        <v>6941901</v>
      </c>
      <c r="I55" s="160">
        <f t="shared" si="12"/>
        <v>0</v>
      </c>
      <c r="J55" s="160">
        <f t="shared" si="12"/>
        <v>0</v>
      </c>
      <c r="K55" s="160">
        <f t="shared" si="12"/>
        <v>0</v>
      </c>
      <c r="L55" s="160">
        <f t="shared" si="12"/>
        <v>0</v>
      </c>
      <c r="M55" s="160">
        <f t="shared" si="12"/>
        <v>0</v>
      </c>
      <c r="N55" s="160">
        <f t="shared" si="12"/>
        <v>0</v>
      </c>
      <c r="O55" s="160">
        <f t="shared" si="11"/>
        <v>9072659</v>
      </c>
      <c r="P55" s="239">
        <f>SUM(D55-E55-G55-H55-I55-J55-K55-L55-M55)-F55</f>
        <v>0</v>
      </c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</row>
    <row r="56" spans="1:30" s="20" customFormat="1">
      <c r="A56" s="909"/>
      <c r="B56" s="506">
        <v>104042</v>
      </c>
      <c r="C56" s="507" t="s">
        <v>522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244"/>
      <c r="O56" s="5">
        <f t="shared" si="11"/>
        <v>0</v>
      </c>
      <c r="P56" s="5">
        <f>SUM(D56-E56-G56-H56-I56-J56-K56-L56-M56)-F56</f>
        <v>0</v>
      </c>
    </row>
    <row r="57" spans="1:30" s="20" customFormat="1">
      <c r="A57" s="909"/>
      <c r="B57" s="508" t="s">
        <v>508</v>
      </c>
      <c r="C57" s="507" t="s">
        <v>516</v>
      </c>
      <c r="D57" s="5"/>
      <c r="E57" s="5"/>
      <c r="F57" s="5"/>
      <c r="G57" s="5"/>
      <c r="H57" s="5"/>
      <c r="I57" s="244"/>
      <c r="J57" s="244"/>
      <c r="K57" s="244"/>
      <c r="L57" s="244"/>
      <c r="M57" s="244"/>
      <c r="N57" s="244"/>
      <c r="O57" s="5">
        <f t="shared" si="11"/>
        <v>0</v>
      </c>
      <c r="P57" s="5">
        <f>SUM(D57-E57-G57-H57-I57-J57-K57-L57-M57)-F57</f>
        <v>0</v>
      </c>
    </row>
    <row r="58" spans="1:30" s="20" customFormat="1">
      <c r="A58" s="909"/>
      <c r="B58" s="918" t="s">
        <v>31</v>
      </c>
      <c r="C58" s="919"/>
      <c r="D58" s="161">
        <f>SUM(D56:D57)</f>
        <v>0</v>
      </c>
      <c r="E58" s="161">
        <f>SUM(E56:E57)</f>
        <v>0</v>
      </c>
      <c r="F58" s="161">
        <f t="shared" ref="F58:M58" si="13">SUM(F56:F57)</f>
        <v>0</v>
      </c>
      <c r="G58" s="161">
        <f t="shared" si="13"/>
        <v>0</v>
      </c>
      <c r="H58" s="161">
        <f>SUM(H56:H57)</f>
        <v>0</v>
      </c>
      <c r="I58" s="161">
        <f t="shared" si="13"/>
        <v>0</v>
      </c>
      <c r="J58" s="161">
        <f t="shared" si="13"/>
        <v>0</v>
      </c>
      <c r="K58" s="161">
        <f t="shared" si="13"/>
        <v>0</v>
      </c>
      <c r="L58" s="161">
        <f t="shared" si="13"/>
        <v>0</v>
      </c>
      <c r="M58" s="161">
        <f t="shared" si="13"/>
        <v>0</v>
      </c>
      <c r="N58" s="161">
        <f>SUM(N56:N57)</f>
        <v>0</v>
      </c>
      <c r="O58" s="161">
        <f t="shared" si="11"/>
        <v>0</v>
      </c>
      <c r="P58" s="240">
        <f>SUM(D58-E58-G58-H58-I58-J58-K58-L58-M58)-F58</f>
        <v>0</v>
      </c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</row>
    <row r="59" spans="1:30" s="158" customFormat="1" ht="15.75">
      <c r="A59" s="910"/>
      <c r="B59" s="920" t="s">
        <v>250</v>
      </c>
      <c r="C59" s="921"/>
      <c r="D59" s="169">
        <f>SUM(D55+D58)</f>
        <v>9072659</v>
      </c>
      <c r="E59" s="169">
        <f t="shared" ref="E59:P59" si="14">SUM(E55+E58)</f>
        <v>1042920</v>
      </c>
      <c r="F59" s="169">
        <f t="shared" si="14"/>
        <v>0</v>
      </c>
      <c r="G59" s="169">
        <f t="shared" si="14"/>
        <v>1087838</v>
      </c>
      <c r="H59" s="169">
        <f t="shared" si="14"/>
        <v>6941901</v>
      </c>
      <c r="I59" s="169">
        <f t="shared" si="14"/>
        <v>0</v>
      </c>
      <c r="J59" s="169">
        <f t="shared" si="14"/>
        <v>0</v>
      </c>
      <c r="K59" s="169">
        <f t="shared" si="14"/>
        <v>0</v>
      </c>
      <c r="L59" s="169">
        <f t="shared" si="14"/>
        <v>0</v>
      </c>
      <c r="M59" s="169">
        <f t="shared" si="14"/>
        <v>0</v>
      </c>
      <c r="N59" s="169">
        <f t="shared" si="14"/>
        <v>0</v>
      </c>
      <c r="O59" s="169">
        <f t="shared" si="14"/>
        <v>9072659</v>
      </c>
      <c r="P59" s="169">
        <f t="shared" si="14"/>
        <v>0</v>
      </c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</row>
    <row r="60" spans="1:30" s="158" customFormat="1" ht="15.75">
      <c r="A60" s="503"/>
      <c r="B60" s="503"/>
      <c r="C60" s="503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5"/>
      <c r="P60" s="5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</row>
    <row r="61" spans="1:30">
      <c r="A61" s="908" t="s">
        <v>251</v>
      </c>
      <c r="B61" s="506">
        <v>107052</v>
      </c>
      <c r="C61" s="507" t="s">
        <v>518</v>
      </c>
      <c r="D61" s="410">
        <v>277727</v>
      </c>
      <c r="E61" s="410">
        <v>0</v>
      </c>
      <c r="F61" s="410"/>
      <c r="G61" s="410"/>
      <c r="H61" s="410"/>
      <c r="I61" s="410"/>
      <c r="J61" s="410"/>
      <c r="K61" s="410"/>
      <c r="L61" s="410"/>
      <c r="M61" s="410"/>
      <c r="N61" s="410"/>
      <c r="O61" s="5">
        <f t="shared" ref="O61:O67" si="15">SUM(E61:N61)</f>
        <v>0</v>
      </c>
      <c r="P61" s="410">
        <f>D61-E61-F61-G61-H61-I61-J61-K61-L61-M61-N61</f>
        <v>277727</v>
      </c>
    </row>
    <row r="62" spans="1:30">
      <c r="A62" s="909"/>
      <c r="B62" s="508" t="s">
        <v>510</v>
      </c>
      <c r="C62" s="507" t="s">
        <v>533</v>
      </c>
      <c r="D62" s="410">
        <v>0</v>
      </c>
      <c r="E62" s="410"/>
      <c r="F62" s="410"/>
      <c r="G62" s="410"/>
      <c r="H62" s="410"/>
      <c r="I62" s="410"/>
      <c r="J62" s="410"/>
      <c r="K62" s="410"/>
      <c r="L62" s="410"/>
      <c r="M62" s="410"/>
      <c r="N62" s="410"/>
      <c r="O62" s="5">
        <f t="shared" si="15"/>
        <v>0</v>
      </c>
      <c r="P62" s="410">
        <f>D62-E62-F62-G62-H62-I62-J62-K62-L62-M62-N62</f>
        <v>0</v>
      </c>
    </row>
    <row r="63" spans="1:30">
      <c r="A63" s="909"/>
      <c r="B63" s="508" t="s">
        <v>508</v>
      </c>
      <c r="C63" s="507" t="s">
        <v>516</v>
      </c>
      <c r="D63" s="410"/>
      <c r="E63" s="410"/>
      <c r="F63" s="410"/>
      <c r="G63" s="410">
        <v>0</v>
      </c>
      <c r="H63" s="410">
        <v>0</v>
      </c>
      <c r="I63" s="410"/>
      <c r="J63" s="410"/>
      <c r="K63" s="410"/>
      <c r="L63" s="410"/>
      <c r="M63" s="410">
        <v>519969</v>
      </c>
      <c r="N63" s="410"/>
      <c r="O63" s="5">
        <f t="shared" si="15"/>
        <v>519969</v>
      </c>
      <c r="P63" s="410">
        <f>D63-E63-F63-G63-H63-I63-J63-K63-L63-M63-N63</f>
        <v>-519969</v>
      </c>
    </row>
    <row r="64" spans="1:30" s="20" customFormat="1">
      <c r="A64" s="909"/>
      <c r="B64" s="916" t="s">
        <v>30</v>
      </c>
      <c r="C64" s="917"/>
      <c r="D64" s="160">
        <f>SUM(D61:D63)</f>
        <v>277727</v>
      </c>
      <c r="E64" s="160">
        <f>SUM(E61:E63)</f>
        <v>0</v>
      </c>
      <c r="F64" s="160">
        <f>SUM(F61:F63)</f>
        <v>0</v>
      </c>
      <c r="G64" s="160">
        <f>SUM(G61:G63)</f>
        <v>0</v>
      </c>
      <c r="H64" s="160">
        <f t="shared" ref="H64:N64" si="16">SUM(H61:H63)</f>
        <v>0</v>
      </c>
      <c r="I64" s="160">
        <f t="shared" si="16"/>
        <v>0</v>
      </c>
      <c r="J64" s="160">
        <f t="shared" si="16"/>
        <v>0</v>
      </c>
      <c r="K64" s="160">
        <f t="shared" si="16"/>
        <v>0</v>
      </c>
      <c r="L64" s="160">
        <f t="shared" si="16"/>
        <v>0</v>
      </c>
      <c r="M64" s="160">
        <f t="shared" si="16"/>
        <v>519969</v>
      </c>
      <c r="N64" s="160">
        <f t="shared" si="16"/>
        <v>0</v>
      </c>
      <c r="O64" s="160">
        <f t="shared" si="15"/>
        <v>519969</v>
      </c>
      <c r="P64" s="239">
        <f>SUM(D64-E64-G64-H64-I64-J64-K64-L64-M64)-F64</f>
        <v>-242242</v>
      </c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</row>
    <row r="65" spans="1:30" s="20" customFormat="1">
      <c r="A65" s="909"/>
      <c r="B65" s="506">
        <v>104042</v>
      </c>
      <c r="C65" s="507" t="s">
        <v>522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244">
        <f t="shared" si="15"/>
        <v>0</v>
      </c>
      <c r="P65" s="244">
        <f>SUM(D65-E65-G65-H65-I65-J65-K65-L65-M65)-F65</f>
        <v>0</v>
      </c>
    </row>
    <row r="66" spans="1:30" s="20" customFormat="1">
      <c r="A66" s="909"/>
      <c r="B66" s="508" t="s">
        <v>508</v>
      </c>
      <c r="C66" s="507" t="s">
        <v>516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244">
        <f t="shared" si="15"/>
        <v>0</v>
      </c>
      <c r="P66" s="244">
        <f>SUM(D66-E66-G66-H66-I66-J66-K66-L66-M66)-F66</f>
        <v>0</v>
      </c>
    </row>
    <row r="67" spans="1:30" s="20" customFormat="1">
      <c r="A67" s="909"/>
      <c r="B67" s="918" t="s">
        <v>31</v>
      </c>
      <c r="C67" s="919"/>
      <c r="D67" s="161">
        <f>SUM(D65:D66)</f>
        <v>0</v>
      </c>
      <c r="E67" s="161">
        <f>SUM(E65:E66)</f>
        <v>0</v>
      </c>
      <c r="F67" s="161">
        <f t="shared" ref="F67:M67" si="17">SUM(F65:F66)</f>
        <v>0</v>
      </c>
      <c r="G67" s="161">
        <f t="shared" si="17"/>
        <v>0</v>
      </c>
      <c r="H67" s="161">
        <f t="shared" si="17"/>
        <v>0</v>
      </c>
      <c r="I67" s="161">
        <f t="shared" si="17"/>
        <v>0</v>
      </c>
      <c r="J67" s="161">
        <f t="shared" si="17"/>
        <v>0</v>
      </c>
      <c r="K67" s="161">
        <f t="shared" si="17"/>
        <v>0</v>
      </c>
      <c r="L67" s="161">
        <f t="shared" si="17"/>
        <v>0</v>
      </c>
      <c r="M67" s="161">
        <f t="shared" si="17"/>
        <v>0</v>
      </c>
      <c r="N67" s="161">
        <f>SUM(N65:N66)</f>
        <v>0</v>
      </c>
      <c r="O67" s="161">
        <f t="shared" si="15"/>
        <v>0</v>
      </c>
      <c r="P67" s="240">
        <f>SUM(D67-E67-G67-H67-I67-J67-K67-L67-M67)-F67</f>
        <v>0</v>
      </c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</row>
    <row r="68" spans="1:30" s="158" customFormat="1" ht="15.75">
      <c r="A68" s="910"/>
      <c r="B68" s="920" t="s">
        <v>252</v>
      </c>
      <c r="C68" s="921"/>
      <c r="D68" s="169">
        <f>SUM(D64+D67)</f>
        <v>277727</v>
      </c>
      <c r="E68" s="169">
        <f t="shared" ref="E68:P68" si="18">SUM(E64+E67)</f>
        <v>0</v>
      </c>
      <c r="F68" s="169">
        <f t="shared" si="18"/>
        <v>0</v>
      </c>
      <c r="G68" s="169">
        <f t="shared" si="18"/>
        <v>0</v>
      </c>
      <c r="H68" s="169">
        <f t="shared" si="18"/>
        <v>0</v>
      </c>
      <c r="I68" s="169">
        <f t="shared" si="18"/>
        <v>0</v>
      </c>
      <c r="J68" s="169">
        <f t="shared" si="18"/>
        <v>0</v>
      </c>
      <c r="K68" s="169">
        <f t="shared" si="18"/>
        <v>0</v>
      </c>
      <c r="L68" s="169">
        <f t="shared" si="18"/>
        <v>0</v>
      </c>
      <c r="M68" s="169">
        <f t="shared" si="18"/>
        <v>519969</v>
      </c>
      <c r="N68" s="169">
        <f t="shared" si="18"/>
        <v>0</v>
      </c>
      <c r="O68" s="169">
        <f t="shared" si="18"/>
        <v>519969</v>
      </c>
      <c r="P68" s="169">
        <f t="shared" si="18"/>
        <v>-242242</v>
      </c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</row>
    <row r="69" spans="1:30" s="158" customFormat="1" ht="15.75">
      <c r="A69" s="503"/>
      <c r="B69" s="503"/>
      <c r="C69" s="503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5"/>
      <c r="P69" s="5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</row>
    <row r="70" spans="1:30">
      <c r="A70" s="908" t="s">
        <v>58</v>
      </c>
      <c r="B70" s="506">
        <v>107052</v>
      </c>
      <c r="C70" s="507" t="s">
        <v>518</v>
      </c>
      <c r="D70" s="410"/>
      <c r="E70" s="410"/>
      <c r="F70" s="410"/>
      <c r="G70" s="410"/>
      <c r="H70" s="410"/>
      <c r="I70" s="410"/>
      <c r="J70" s="410"/>
      <c r="K70" s="410"/>
      <c r="L70" s="410"/>
      <c r="M70" s="410"/>
      <c r="N70" s="410"/>
      <c r="O70" s="5">
        <f>SUM(E70:N70)</f>
        <v>0</v>
      </c>
      <c r="P70" s="5">
        <f t="shared" ref="P70:P75" si="19">SUM(D70-E70-G70-H70-I70-J70-K70-L70-M70)-F70</f>
        <v>0</v>
      </c>
    </row>
    <row r="71" spans="1:30" s="20" customFormat="1">
      <c r="A71" s="909"/>
      <c r="B71" s="916" t="s">
        <v>30</v>
      </c>
      <c r="C71" s="917"/>
      <c r="D71" s="160">
        <f t="shared" ref="D71:N71" si="20">SUM(D70:D70)</f>
        <v>0</v>
      </c>
      <c r="E71" s="160">
        <f t="shared" si="20"/>
        <v>0</v>
      </c>
      <c r="F71" s="160">
        <f t="shared" si="20"/>
        <v>0</v>
      </c>
      <c r="G71" s="160">
        <f t="shared" si="20"/>
        <v>0</v>
      </c>
      <c r="H71" s="160">
        <f t="shared" si="20"/>
        <v>0</v>
      </c>
      <c r="I71" s="160">
        <f t="shared" si="20"/>
        <v>0</v>
      </c>
      <c r="J71" s="160">
        <f t="shared" si="20"/>
        <v>0</v>
      </c>
      <c r="K71" s="160">
        <f t="shared" si="20"/>
        <v>0</v>
      </c>
      <c r="L71" s="160">
        <f t="shared" si="20"/>
        <v>0</v>
      </c>
      <c r="M71" s="160">
        <f t="shared" si="20"/>
        <v>0</v>
      </c>
      <c r="N71" s="160">
        <f t="shared" si="20"/>
        <v>0</v>
      </c>
      <c r="O71" s="160">
        <f>SUM(E71:N71)</f>
        <v>0</v>
      </c>
      <c r="P71" s="239">
        <f t="shared" si="19"/>
        <v>0</v>
      </c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</row>
    <row r="72" spans="1:30">
      <c r="A72" s="909"/>
      <c r="B72" s="506">
        <v>104042</v>
      </c>
      <c r="C72" s="507" t="s">
        <v>522</v>
      </c>
      <c r="D72" s="410">
        <f>7311499+2969616</f>
        <v>10281115</v>
      </c>
      <c r="E72" s="410"/>
      <c r="F72" s="410"/>
      <c r="G72" s="410"/>
      <c r="H72" s="410"/>
      <c r="I72" s="410"/>
      <c r="J72" s="410"/>
      <c r="K72" s="410"/>
      <c r="L72" s="410"/>
      <c r="M72" s="410"/>
      <c r="N72" s="410"/>
      <c r="O72" s="5">
        <f>SUM(E72:N72)</f>
        <v>0</v>
      </c>
      <c r="P72" s="410">
        <f t="shared" si="19"/>
        <v>10281115</v>
      </c>
    </row>
    <row r="73" spans="1:30">
      <c r="A73" s="909"/>
      <c r="B73" s="508" t="s">
        <v>508</v>
      </c>
      <c r="C73" s="507" t="s">
        <v>516</v>
      </c>
      <c r="D73" s="410"/>
      <c r="E73" s="410"/>
      <c r="F73" s="410"/>
      <c r="G73" s="410">
        <v>2603349</v>
      </c>
      <c r="H73" s="410">
        <v>7329766</v>
      </c>
      <c r="I73" s="410"/>
      <c r="J73" s="410"/>
      <c r="K73" s="410"/>
      <c r="L73" s="410"/>
      <c r="M73" s="410">
        <v>553316</v>
      </c>
      <c r="N73" s="410"/>
      <c r="O73" s="5">
        <f>SUM(E73:N73)</f>
        <v>10486431</v>
      </c>
      <c r="P73" s="410">
        <f t="shared" si="19"/>
        <v>-10486431</v>
      </c>
    </row>
    <row r="74" spans="1:30" s="20" customFormat="1">
      <c r="A74" s="909"/>
      <c r="B74" s="918" t="s">
        <v>31</v>
      </c>
      <c r="C74" s="919"/>
      <c r="D74" s="161">
        <f>SUM(D72:D73)</f>
        <v>10281115</v>
      </c>
      <c r="E74" s="161">
        <f>SUM(E72:E73)</f>
        <v>0</v>
      </c>
      <c r="F74" s="161">
        <f t="shared" ref="F74:M74" si="21">SUM(F72:F73)</f>
        <v>0</v>
      </c>
      <c r="G74" s="161">
        <f t="shared" si="21"/>
        <v>2603349</v>
      </c>
      <c r="H74" s="161">
        <f t="shared" si="21"/>
        <v>7329766</v>
      </c>
      <c r="I74" s="161">
        <f t="shared" si="21"/>
        <v>0</v>
      </c>
      <c r="J74" s="161">
        <f t="shared" si="21"/>
        <v>0</v>
      </c>
      <c r="K74" s="161">
        <f t="shared" si="21"/>
        <v>0</v>
      </c>
      <c r="L74" s="161">
        <f t="shared" si="21"/>
        <v>0</v>
      </c>
      <c r="M74" s="161">
        <f t="shared" si="21"/>
        <v>553316</v>
      </c>
      <c r="N74" s="161">
        <f>SUM(N72:N73)</f>
        <v>0</v>
      </c>
      <c r="O74" s="161">
        <f>SUM(E74:N74)</f>
        <v>10486431</v>
      </c>
      <c r="P74" s="240">
        <f t="shared" si="19"/>
        <v>-205316</v>
      </c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</row>
    <row r="75" spans="1:30" s="158" customFormat="1" ht="15.75">
      <c r="A75" s="910"/>
      <c r="B75" s="920" t="s">
        <v>32</v>
      </c>
      <c r="C75" s="921"/>
      <c r="D75" s="169">
        <f>SUM(D74,D71)</f>
        <v>10281115</v>
      </c>
      <c r="E75" s="169">
        <f>SUM(E74,E71)</f>
        <v>0</v>
      </c>
      <c r="F75" s="169">
        <f t="shared" ref="F75:O75" si="22">SUM(F74,F71)</f>
        <v>0</v>
      </c>
      <c r="G75" s="169">
        <f t="shared" si="22"/>
        <v>2603349</v>
      </c>
      <c r="H75" s="169">
        <f t="shared" si="22"/>
        <v>7329766</v>
      </c>
      <c r="I75" s="169">
        <f t="shared" si="22"/>
        <v>0</v>
      </c>
      <c r="J75" s="169">
        <f t="shared" si="22"/>
        <v>0</v>
      </c>
      <c r="K75" s="169">
        <f t="shared" si="22"/>
        <v>0</v>
      </c>
      <c r="L75" s="169">
        <f t="shared" si="22"/>
        <v>0</v>
      </c>
      <c r="M75" s="169">
        <f t="shared" si="22"/>
        <v>553316</v>
      </c>
      <c r="N75" s="169">
        <f t="shared" si="22"/>
        <v>0</v>
      </c>
      <c r="O75" s="169">
        <f t="shared" si="22"/>
        <v>10486431</v>
      </c>
      <c r="P75" s="169">
        <f t="shared" si="19"/>
        <v>-205316</v>
      </c>
      <c r="Q75" s="159"/>
      <c r="R75" s="159"/>
      <c r="S75" s="159"/>
      <c r="T75" s="159"/>
      <c r="U75" s="159"/>
      <c r="V75" s="159"/>
      <c r="W75" s="159"/>
      <c r="X75" s="159"/>
      <c r="Y75" s="159"/>
      <c r="Z75" s="159"/>
      <c r="AA75" s="159"/>
      <c r="AB75" s="159"/>
      <c r="AC75" s="159"/>
      <c r="AD75" s="159"/>
    </row>
    <row r="76" spans="1:30">
      <c r="A76" s="924"/>
      <c r="B76" s="924"/>
      <c r="C76" s="924"/>
      <c r="D76" s="924"/>
      <c r="E76" s="924"/>
      <c r="F76" s="924"/>
      <c r="G76" s="924"/>
      <c r="H76" s="924"/>
      <c r="I76" s="924"/>
      <c r="J76" s="924"/>
      <c r="K76" s="924"/>
      <c r="L76" s="924"/>
      <c r="M76" s="924"/>
      <c r="N76" s="924"/>
      <c r="O76" s="924"/>
      <c r="P76" s="924"/>
    </row>
    <row r="77" spans="1:30">
      <c r="A77" s="908" t="s">
        <v>63</v>
      </c>
      <c r="B77" s="506">
        <v>107052</v>
      </c>
      <c r="C77" s="507" t="s">
        <v>518</v>
      </c>
      <c r="D77" s="410">
        <f>6795495+563111</f>
        <v>7358606</v>
      </c>
      <c r="E77" s="410">
        <v>654195</v>
      </c>
      <c r="F77" s="410"/>
      <c r="G77" s="410"/>
      <c r="H77" s="410"/>
      <c r="I77" s="410"/>
      <c r="J77" s="410"/>
      <c r="K77" s="410"/>
      <c r="L77" s="410"/>
      <c r="M77" s="410"/>
      <c r="N77" s="410"/>
      <c r="O77" s="5">
        <f t="shared" ref="O77:O84" si="23">SUM(E77:N77)</f>
        <v>654195</v>
      </c>
      <c r="P77" s="410">
        <f>D77-E77-F77-G77-H77-I77-J77-K77-L77-M77-N77</f>
        <v>6704411</v>
      </c>
    </row>
    <row r="78" spans="1:30">
      <c r="A78" s="909"/>
      <c r="B78" s="506">
        <v>107053</v>
      </c>
      <c r="C78" s="507" t="s">
        <v>519</v>
      </c>
      <c r="D78" s="410">
        <v>463550</v>
      </c>
      <c r="E78" s="410">
        <v>137045</v>
      </c>
      <c r="F78" s="410"/>
      <c r="G78" s="410"/>
      <c r="H78" s="410"/>
      <c r="I78" s="410"/>
      <c r="J78" s="410"/>
      <c r="K78" s="410"/>
      <c r="L78" s="410"/>
      <c r="M78" s="410"/>
      <c r="N78" s="410"/>
      <c r="O78" s="5">
        <f t="shared" si="23"/>
        <v>137045</v>
      </c>
      <c r="P78" s="410">
        <f>D78-E78-F78-G78-H78-I78-J78-K78-L78-M78-N78</f>
        <v>326505</v>
      </c>
    </row>
    <row r="79" spans="1:30">
      <c r="A79" s="909"/>
      <c r="B79" s="508" t="s">
        <v>510</v>
      </c>
      <c r="C79" s="507" t="s">
        <v>533</v>
      </c>
      <c r="D79" s="410"/>
      <c r="E79" s="410"/>
      <c r="F79" s="410"/>
      <c r="G79" s="410"/>
      <c r="H79" s="410"/>
      <c r="I79" s="410"/>
      <c r="J79" s="410"/>
      <c r="K79" s="410"/>
      <c r="L79" s="410"/>
      <c r="M79" s="410"/>
      <c r="N79" s="410"/>
      <c r="O79" s="5">
        <f>SUM(E79:N79)</f>
        <v>0</v>
      </c>
      <c r="P79" s="410">
        <f>D79-E79-F79-G79-H79-I79-J79-K79-L79-M79-N79</f>
        <v>0</v>
      </c>
    </row>
    <row r="80" spans="1:30">
      <c r="A80" s="909"/>
      <c r="B80" s="508" t="s">
        <v>508</v>
      </c>
      <c r="C80" s="507" t="s">
        <v>516</v>
      </c>
      <c r="D80" s="410"/>
      <c r="E80" s="410"/>
      <c r="F80" s="410"/>
      <c r="G80" s="410">
        <v>297304</v>
      </c>
      <c r="H80" s="410">
        <v>6660671</v>
      </c>
      <c r="I80" s="410"/>
      <c r="J80" s="410"/>
      <c r="K80" s="410"/>
      <c r="L80" s="410"/>
      <c r="M80" s="410">
        <v>72941</v>
      </c>
      <c r="N80" s="410"/>
      <c r="O80" s="5">
        <f>SUM(E80:N80)</f>
        <v>7030916</v>
      </c>
      <c r="P80" s="410">
        <f>D80-E80-F80-G80-H80-I80-J80-K80-L80-M80-N80</f>
        <v>-7030916</v>
      </c>
    </row>
    <row r="81" spans="1:30" s="20" customFormat="1">
      <c r="A81" s="909"/>
      <c r="B81" s="923" t="s">
        <v>30</v>
      </c>
      <c r="C81" s="923"/>
      <c r="D81" s="160">
        <f>SUM(D77:D80)</f>
        <v>7822156</v>
      </c>
      <c r="E81" s="160">
        <f>SUM(E77:E78)</f>
        <v>791240</v>
      </c>
      <c r="F81" s="160">
        <f>SUM(F77:F80)</f>
        <v>0</v>
      </c>
      <c r="G81" s="160">
        <f>SUM(G77:G80)</f>
        <v>297304</v>
      </c>
      <c r="H81" s="160">
        <f>SUM(H77:H80)</f>
        <v>6660671</v>
      </c>
      <c r="I81" s="160">
        <f t="shared" ref="I81:N81" si="24">SUM(I77:I78)</f>
        <v>0</v>
      </c>
      <c r="J81" s="160">
        <f t="shared" si="24"/>
        <v>0</v>
      </c>
      <c r="K81" s="160">
        <f t="shared" si="24"/>
        <v>0</v>
      </c>
      <c r="L81" s="160">
        <f t="shared" si="24"/>
        <v>0</v>
      </c>
      <c r="M81" s="160">
        <f>SUM(M77:M80)</f>
        <v>72941</v>
      </c>
      <c r="N81" s="160">
        <f t="shared" si="24"/>
        <v>0</v>
      </c>
      <c r="O81" s="160">
        <f t="shared" si="23"/>
        <v>7822156</v>
      </c>
      <c r="P81" s="239">
        <f>SUM(D81-E81-G81-H81-I81-J81-K81-L81-M81)-F81</f>
        <v>0</v>
      </c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</row>
    <row r="82" spans="1:30">
      <c r="A82" s="909"/>
      <c r="B82" s="506">
        <v>104042</v>
      </c>
      <c r="C82" s="507" t="s">
        <v>522</v>
      </c>
      <c r="D82" s="410">
        <f>7295142+1446565</f>
        <v>8741707</v>
      </c>
      <c r="E82" s="410"/>
      <c r="F82" s="410"/>
      <c r="G82" s="410"/>
      <c r="H82" s="410"/>
      <c r="I82" s="410"/>
      <c r="J82" s="410"/>
      <c r="K82" s="410"/>
      <c r="L82" s="410"/>
      <c r="M82" s="410"/>
      <c r="N82" s="410"/>
      <c r="O82" s="5">
        <f t="shared" si="23"/>
        <v>0</v>
      </c>
      <c r="P82" s="410">
        <f>SUM(D82-E82-G82-H82-I82-J82-K82-L82-M82)-F82</f>
        <v>8741707</v>
      </c>
    </row>
    <row r="83" spans="1:30">
      <c r="A83" s="909"/>
      <c r="B83" s="508" t="s">
        <v>508</v>
      </c>
      <c r="C83" s="507" t="s">
        <v>516</v>
      </c>
      <c r="D83" s="410"/>
      <c r="E83" s="410"/>
      <c r="F83" s="410"/>
      <c r="G83" s="410">
        <v>953677</v>
      </c>
      <c r="H83" s="410">
        <v>7830865</v>
      </c>
      <c r="I83" s="410"/>
      <c r="J83" s="410"/>
      <c r="K83" s="410"/>
      <c r="L83" s="410"/>
      <c r="M83" s="410">
        <v>566894</v>
      </c>
      <c r="N83" s="410"/>
      <c r="O83" s="5">
        <f t="shared" si="23"/>
        <v>9351436</v>
      </c>
      <c r="P83" s="410">
        <f>SUM(D83-E83-G83-H83-I83-J83-K83-L83-M83)-F83</f>
        <v>-9351436</v>
      </c>
    </row>
    <row r="84" spans="1:30" s="20" customFormat="1">
      <c r="A84" s="909"/>
      <c r="B84" s="769" t="s">
        <v>31</v>
      </c>
      <c r="C84" s="769"/>
      <c r="D84" s="161">
        <f>SUM(D82:D83)</f>
        <v>8741707</v>
      </c>
      <c r="E84" s="161">
        <f>SUM(E82:E83)</f>
        <v>0</v>
      </c>
      <c r="F84" s="161">
        <f t="shared" ref="F84:N84" si="25">SUM(F82:F83)</f>
        <v>0</v>
      </c>
      <c r="G84" s="161">
        <f t="shared" si="25"/>
        <v>953677</v>
      </c>
      <c r="H84" s="161">
        <f t="shared" si="25"/>
        <v>7830865</v>
      </c>
      <c r="I84" s="161">
        <f t="shared" si="25"/>
        <v>0</v>
      </c>
      <c r="J84" s="161">
        <f t="shared" si="25"/>
        <v>0</v>
      </c>
      <c r="K84" s="161">
        <f t="shared" si="25"/>
        <v>0</v>
      </c>
      <c r="L84" s="161">
        <f t="shared" si="25"/>
        <v>0</v>
      </c>
      <c r="M84" s="161">
        <f t="shared" si="25"/>
        <v>566894</v>
      </c>
      <c r="N84" s="161">
        <f t="shared" si="25"/>
        <v>0</v>
      </c>
      <c r="O84" s="161">
        <f t="shared" si="23"/>
        <v>9351436</v>
      </c>
      <c r="P84" s="240">
        <f>SUM(D84-E84-G84-H84-I84-J84-K84-L84-M84)-F84</f>
        <v>-609729</v>
      </c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</row>
    <row r="85" spans="1:30" s="158" customFormat="1" ht="15.75">
      <c r="A85" s="910"/>
      <c r="B85" s="902" t="s">
        <v>33</v>
      </c>
      <c r="C85" s="902"/>
      <c r="D85" s="169">
        <f>SUM(D84,D81)</f>
        <v>16563863</v>
      </c>
      <c r="E85" s="169">
        <f>SUM(E84,E81)</f>
        <v>791240</v>
      </c>
      <c r="F85" s="169">
        <f t="shared" ref="F85:O85" si="26">SUM(F84,F81)</f>
        <v>0</v>
      </c>
      <c r="G85" s="169">
        <f t="shared" si="26"/>
        <v>1250981</v>
      </c>
      <c r="H85" s="169">
        <f t="shared" si="26"/>
        <v>14491536</v>
      </c>
      <c r="I85" s="169">
        <f t="shared" si="26"/>
        <v>0</v>
      </c>
      <c r="J85" s="169">
        <f t="shared" si="26"/>
        <v>0</v>
      </c>
      <c r="K85" s="169">
        <f t="shared" si="26"/>
        <v>0</v>
      </c>
      <c r="L85" s="169">
        <f t="shared" si="26"/>
        <v>0</v>
      </c>
      <c r="M85" s="169">
        <f t="shared" si="26"/>
        <v>639835</v>
      </c>
      <c r="N85" s="169">
        <f t="shared" si="26"/>
        <v>0</v>
      </c>
      <c r="O85" s="169">
        <f t="shared" si="26"/>
        <v>17173592</v>
      </c>
      <c r="P85" s="169">
        <f>SUM(D85-E85-G85-H85-I85-J85-K85-L85-M85)-F85</f>
        <v>-609729</v>
      </c>
      <c r="Q85" s="159"/>
      <c r="R85" s="159"/>
      <c r="S85" s="159"/>
      <c r="T85" s="159"/>
      <c r="U85" s="159"/>
      <c r="V85" s="159"/>
      <c r="W85" s="159"/>
      <c r="X85" s="159"/>
      <c r="Y85" s="159"/>
      <c r="Z85" s="159"/>
      <c r="AA85" s="159"/>
      <c r="AB85" s="159"/>
      <c r="AC85" s="159"/>
      <c r="AD85" s="159"/>
    </row>
    <row r="86" spans="1:30">
      <c r="A86" s="922"/>
      <c r="B86" s="922"/>
      <c r="C86" s="922"/>
      <c r="D86" s="922"/>
      <c r="E86" s="922"/>
      <c r="F86" s="922"/>
      <c r="G86" s="922"/>
      <c r="H86" s="922"/>
      <c r="I86" s="922"/>
      <c r="J86" s="922"/>
      <c r="K86" s="922"/>
      <c r="L86" s="922"/>
      <c r="M86" s="922"/>
      <c r="N86" s="922"/>
      <c r="O86" s="922"/>
      <c r="P86" s="922"/>
    </row>
    <row r="87" spans="1:30">
      <c r="A87" s="908" t="s">
        <v>55</v>
      </c>
      <c r="B87" s="506">
        <v>107052</v>
      </c>
      <c r="C87" s="507" t="s">
        <v>518</v>
      </c>
      <c r="D87" s="410">
        <f>4255299+366341</f>
        <v>4621640</v>
      </c>
      <c r="E87" s="410">
        <v>470015</v>
      </c>
      <c r="F87" s="410"/>
      <c r="G87" s="410"/>
      <c r="H87" s="410"/>
      <c r="I87" s="410"/>
      <c r="J87" s="410"/>
      <c r="K87" s="410"/>
      <c r="L87" s="410"/>
      <c r="M87" s="410"/>
      <c r="N87" s="410"/>
      <c r="O87" s="5">
        <f t="shared" ref="O87:O94" si="27">SUM(E87:N87)</f>
        <v>470015</v>
      </c>
      <c r="P87" s="410">
        <f>D87-E87-F87-G87-H87-I87-J87-K87-L87-M87-N87</f>
        <v>4151625</v>
      </c>
    </row>
    <row r="88" spans="1:30">
      <c r="A88" s="909"/>
      <c r="B88" s="506">
        <v>107053</v>
      </c>
      <c r="C88" s="507" t="s">
        <v>519</v>
      </c>
      <c r="D88" s="410">
        <v>116205</v>
      </c>
      <c r="E88" s="410">
        <v>61920</v>
      </c>
      <c r="F88" s="410"/>
      <c r="G88" s="410"/>
      <c r="H88" s="410"/>
      <c r="I88" s="410"/>
      <c r="J88" s="410"/>
      <c r="K88" s="410"/>
      <c r="L88" s="410"/>
      <c r="M88" s="410"/>
      <c r="N88" s="410"/>
      <c r="O88" s="5">
        <f>SUM(E88:N88)</f>
        <v>61920</v>
      </c>
      <c r="P88" s="410">
        <f>D88-E88-F88-G88-H88-I88-J88-K88-L88-M88-N88</f>
        <v>54285</v>
      </c>
    </row>
    <row r="89" spans="1:30">
      <c r="A89" s="909"/>
      <c r="B89" s="508" t="s">
        <v>510</v>
      </c>
      <c r="C89" s="507" t="s">
        <v>533</v>
      </c>
      <c r="D89" s="410"/>
      <c r="E89" s="410"/>
      <c r="F89" s="410"/>
      <c r="G89" s="410"/>
      <c r="H89" s="410"/>
      <c r="I89" s="410"/>
      <c r="J89" s="410"/>
      <c r="K89" s="410"/>
      <c r="L89" s="410"/>
      <c r="M89" s="410"/>
      <c r="N89" s="410"/>
      <c r="O89" s="5">
        <f>SUM(E89:N89)</f>
        <v>0</v>
      </c>
      <c r="P89" s="410">
        <f>D89-E89-F89-G89-H89-I89-J89-K89-L89-M89-N89</f>
        <v>0</v>
      </c>
    </row>
    <row r="90" spans="1:30">
      <c r="A90" s="909"/>
      <c r="B90" s="508" t="s">
        <v>508</v>
      </c>
      <c r="C90" s="507" t="s">
        <v>516</v>
      </c>
      <c r="D90" s="410"/>
      <c r="E90" s="410"/>
      <c r="F90" s="410"/>
      <c r="G90" s="410"/>
      <c r="H90" s="410">
        <v>3868891</v>
      </c>
      <c r="I90" s="410"/>
      <c r="J90" s="410"/>
      <c r="K90" s="410"/>
      <c r="L90" s="410"/>
      <c r="M90" s="410">
        <v>365668</v>
      </c>
      <c r="N90" s="410"/>
      <c r="O90" s="5">
        <f>SUM(E90:N90)</f>
        <v>4234559</v>
      </c>
      <c r="P90" s="410">
        <f>D90-E90-F90-G90-H90-I90-J90-K90-L90-M90-N90</f>
        <v>-4234559</v>
      </c>
    </row>
    <row r="91" spans="1:30" s="20" customFormat="1">
      <c r="A91" s="909"/>
      <c r="B91" s="923" t="s">
        <v>30</v>
      </c>
      <c r="C91" s="923"/>
      <c r="D91" s="160">
        <f>SUM(D87:D90)</f>
        <v>4737845</v>
      </c>
      <c r="E91" s="160">
        <f>SUM(E87:E90)</f>
        <v>531935</v>
      </c>
      <c r="F91" s="160">
        <f>SUM(F87:F90)</f>
        <v>0</v>
      </c>
      <c r="G91" s="160">
        <f>SUM(G87:G90)</f>
        <v>0</v>
      </c>
      <c r="H91" s="160">
        <f>SUM(H87:H90)</f>
        <v>3868891</v>
      </c>
      <c r="I91" s="160">
        <f t="shared" ref="I91:L91" si="28">SUM(I87)</f>
        <v>0</v>
      </c>
      <c r="J91" s="160">
        <f t="shared" si="28"/>
        <v>0</v>
      </c>
      <c r="K91" s="160">
        <f t="shared" si="28"/>
        <v>0</v>
      </c>
      <c r="L91" s="160">
        <f t="shared" si="28"/>
        <v>0</v>
      </c>
      <c r="M91" s="160">
        <f>SUM(M87:M90)</f>
        <v>365668</v>
      </c>
      <c r="N91" s="160">
        <f>SUM(N87)</f>
        <v>0</v>
      </c>
      <c r="O91" s="160">
        <f t="shared" si="27"/>
        <v>4766494</v>
      </c>
      <c r="P91" s="239">
        <f>SUM(D91-E91-G91-H91-I91-J91-K91-L91-M91)-F91</f>
        <v>-28649</v>
      </c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</row>
    <row r="92" spans="1:30">
      <c r="A92" s="909"/>
      <c r="B92" s="506">
        <v>104042</v>
      </c>
      <c r="C92" s="507" t="s">
        <v>522</v>
      </c>
      <c r="D92" s="410"/>
      <c r="E92" s="410"/>
      <c r="F92" s="410"/>
      <c r="G92" s="410"/>
      <c r="H92" s="410"/>
      <c r="I92" s="410"/>
      <c r="J92" s="410"/>
      <c r="K92" s="410"/>
      <c r="L92" s="410"/>
      <c r="M92" s="410"/>
      <c r="N92" s="410"/>
      <c r="O92" s="5">
        <f t="shared" si="27"/>
        <v>0</v>
      </c>
      <c r="P92" s="5">
        <f>SUM(D92-E92-G92-H92-I92-J92-K92-L92-M92)-F92</f>
        <v>0</v>
      </c>
    </row>
    <row r="93" spans="1:30">
      <c r="A93" s="909"/>
      <c r="B93" s="508" t="s">
        <v>508</v>
      </c>
      <c r="C93" s="507" t="s">
        <v>516</v>
      </c>
      <c r="D93" s="410"/>
      <c r="E93" s="410"/>
      <c r="F93" s="410"/>
      <c r="G93" s="410"/>
      <c r="H93" s="410"/>
      <c r="I93" s="410"/>
      <c r="J93" s="410"/>
      <c r="K93" s="410"/>
      <c r="L93" s="410"/>
      <c r="M93" s="410"/>
      <c r="N93" s="410"/>
      <c r="O93" s="5">
        <f t="shared" si="27"/>
        <v>0</v>
      </c>
      <c r="P93" s="5">
        <f>SUM(D93-E93-G93-H93-I93-J93-K93-L93-M93)-F93</f>
        <v>0</v>
      </c>
    </row>
    <row r="94" spans="1:30" s="20" customFormat="1">
      <c r="A94" s="909"/>
      <c r="B94" s="769" t="s">
        <v>31</v>
      </c>
      <c r="C94" s="769"/>
      <c r="D94" s="161">
        <f>SUM(D92:D93)</f>
        <v>0</v>
      </c>
      <c r="E94" s="161">
        <f>SUM(E92:E93)</f>
        <v>0</v>
      </c>
      <c r="F94" s="161">
        <f t="shared" ref="F94:M94" si="29">SUM(F92:F93)</f>
        <v>0</v>
      </c>
      <c r="G94" s="161">
        <f t="shared" si="29"/>
        <v>0</v>
      </c>
      <c r="H94" s="161">
        <f t="shared" si="29"/>
        <v>0</v>
      </c>
      <c r="I94" s="161">
        <f t="shared" si="29"/>
        <v>0</v>
      </c>
      <c r="J94" s="161">
        <f t="shared" si="29"/>
        <v>0</v>
      </c>
      <c r="K94" s="161">
        <f t="shared" si="29"/>
        <v>0</v>
      </c>
      <c r="L94" s="161">
        <f t="shared" si="29"/>
        <v>0</v>
      </c>
      <c r="M94" s="161">
        <f t="shared" si="29"/>
        <v>0</v>
      </c>
      <c r="N94" s="161">
        <f>SUM(N92:N93)</f>
        <v>0</v>
      </c>
      <c r="O94" s="161">
        <f t="shared" si="27"/>
        <v>0</v>
      </c>
      <c r="P94" s="240">
        <f>SUM(D94-E94-G94-H94-I94-J94-K94-L94-M94)-F94</f>
        <v>0</v>
      </c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30" s="158" customFormat="1" ht="15.75">
      <c r="A95" s="910"/>
      <c r="B95" s="902" t="s">
        <v>34</v>
      </c>
      <c r="C95" s="902"/>
      <c r="D95" s="169">
        <f>SUM(D94,D91)</f>
        <v>4737845</v>
      </c>
      <c r="E95" s="169">
        <f>SUM(E94,E91)</f>
        <v>531935</v>
      </c>
      <c r="F95" s="169">
        <f t="shared" ref="F95:O95" si="30">SUM(F94,F91)</f>
        <v>0</v>
      </c>
      <c r="G95" s="169">
        <f t="shared" si="30"/>
        <v>0</v>
      </c>
      <c r="H95" s="169">
        <f t="shared" si="30"/>
        <v>3868891</v>
      </c>
      <c r="I95" s="169">
        <f t="shared" si="30"/>
        <v>0</v>
      </c>
      <c r="J95" s="169">
        <f t="shared" si="30"/>
        <v>0</v>
      </c>
      <c r="K95" s="169">
        <f t="shared" si="30"/>
        <v>0</v>
      </c>
      <c r="L95" s="169">
        <f t="shared" si="30"/>
        <v>0</v>
      </c>
      <c r="M95" s="169">
        <f t="shared" si="30"/>
        <v>365668</v>
      </c>
      <c r="N95" s="169">
        <f t="shared" si="30"/>
        <v>0</v>
      </c>
      <c r="O95" s="169">
        <f t="shared" si="30"/>
        <v>4766494</v>
      </c>
      <c r="P95" s="169">
        <f>SUM(D95-E95-G95-H95-I95-J95-K95-L95-M95)-F95</f>
        <v>-28649</v>
      </c>
      <c r="Q95" s="159"/>
      <c r="R95" s="159"/>
      <c r="S95" s="159"/>
      <c r="T95" s="159"/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</row>
    <row r="96" spans="1:30">
      <c r="A96" s="912"/>
      <c r="B96" s="912"/>
      <c r="C96" s="912"/>
      <c r="D96" s="912"/>
      <c r="E96" s="912"/>
      <c r="F96" s="912"/>
      <c r="G96" s="912"/>
      <c r="H96" s="912"/>
      <c r="I96" s="912"/>
      <c r="J96" s="912"/>
      <c r="K96" s="912"/>
      <c r="L96" s="912"/>
      <c r="M96" s="912"/>
      <c r="N96" s="912"/>
      <c r="O96" s="912"/>
      <c r="P96" s="913"/>
    </row>
    <row r="97" spans="1:30">
      <c r="A97" s="908" t="s">
        <v>65</v>
      </c>
      <c r="B97" s="506">
        <v>107052</v>
      </c>
      <c r="C97" s="507" t="s">
        <v>518</v>
      </c>
      <c r="D97" s="410">
        <f>7313958+569634</f>
        <v>7883592</v>
      </c>
      <c r="E97" s="410">
        <v>666088</v>
      </c>
      <c r="F97" s="410"/>
      <c r="G97" s="411"/>
      <c r="H97" s="410"/>
      <c r="I97" s="410"/>
      <c r="J97" s="410"/>
      <c r="K97" s="410"/>
      <c r="L97" s="410"/>
      <c r="M97" s="410"/>
      <c r="N97" s="410"/>
      <c r="O97" s="5">
        <f t="shared" ref="O97:O104" si="31">SUM(E97:N97)</f>
        <v>666088</v>
      </c>
      <c r="P97" s="410">
        <f>D97-E97-F97-G97-H97-I97-J97-K97-L97-M97-N97</f>
        <v>7217504</v>
      </c>
    </row>
    <row r="98" spans="1:30">
      <c r="A98" s="909"/>
      <c r="B98" s="506">
        <v>107053</v>
      </c>
      <c r="C98" s="507" t="s">
        <v>519</v>
      </c>
      <c r="D98" s="410">
        <v>0</v>
      </c>
      <c r="E98" s="410">
        <v>0</v>
      </c>
      <c r="F98" s="410"/>
      <c r="G98" s="411"/>
      <c r="H98" s="410"/>
      <c r="I98" s="410"/>
      <c r="J98" s="410"/>
      <c r="K98" s="410"/>
      <c r="L98" s="410"/>
      <c r="M98" s="410"/>
      <c r="N98" s="410"/>
      <c r="O98" s="5">
        <f t="shared" si="31"/>
        <v>0</v>
      </c>
      <c r="P98" s="410">
        <f>D98-E98-F98-G98-H98-I98-J98-K98-L98-M98-N98</f>
        <v>0</v>
      </c>
    </row>
    <row r="99" spans="1:30">
      <c r="A99" s="909"/>
      <c r="B99" s="508" t="s">
        <v>510</v>
      </c>
      <c r="C99" s="507" t="s">
        <v>533</v>
      </c>
      <c r="D99" s="410"/>
      <c r="E99" s="410"/>
      <c r="F99" s="410"/>
      <c r="G99" s="411"/>
      <c r="H99" s="410"/>
      <c r="I99" s="410"/>
      <c r="J99" s="410"/>
      <c r="K99" s="410"/>
      <c r="L99" s="410"/>
      <c r="M99" s="410"/>
      <c r="N99" s="410"/>
      <c r="O99" s="5">
        <f t="shared" si="31"/>
        <v>0</v>
      </c>
      <c r="P99" s="410">
        <f>D99-E99-F99-G99-H99-I99-J99-K99-L99-M99-N99</f>
        <v>0</v>
      </c>
    </row>
    <row r="100" spans="1:30">
      <c r="A100" s="909"/>
      <c r="B100" s="508" t="s">
        <v>508</v>
      </c>
      <c r="C100" s="507" t="s">
        <v>516</v>
      </c>
      <c r="D100" s="410"/>
      <c r="E100" s="410"/>
      <c r="F100" s="410"/>
      <c r="G100" s="410"/>
      <c r="H100" s="410">
        <v>6959784</v>
      </c>
      <c r="I100" s="410"/>
      <c r="J100" s="410"/>
      <c r="K100" s="410"/>
      <c r="L100" s="410"/>
      <c r="M100" s="410">
        <v>576975</v>
      </c>
      <c r="N100" s="410"/>
      <c r="O100" s="5">
        <f t="shared" si="31"/>
        <v>7536759</v>
      </c>
      <c r="P100" s="410">
        <f>D100-E100-F100-G100-H100-I100-J100-K100-L100-M100-N100</f>
        <v>-7536759</v>
      </c>
    </row>
    <row r="101" spans="1:30" s="20" customFormat="1">
      <c r="A101" s="909"/>
      <c r="B101" s="923" t="s">
        <v>30</v>
      </c>
      <c r="C101" s="923"/>
      <c r="D101" s="160">
        <f>SUM(D97:D100)</f>
        <v>7883592</v>
      </c>
      <c r="E101" s="160">
        <f>SUM(E97:E100)</f>
        <v>666088</v>
      </c>
      <c r="F101" s="160">
        <f>SUM(F97:F100)</f>
        <v>0</v>
      </c>
      <c r="G101" s="160">
        <f>SUM(G97:G100)</f>
        <v>0</v>
      </c>
      <c r="H101" s="160">
        <f t="shared" ref="H101:M101" si="32">SUM(H97:H100)</f>
        <v>6959784</v>
      </c>
      <c r="I101" s="160">
        <f t="shared" si="32"/>
        <v>0</v>
      </c>
      <c r="J101" s="160">
        <f t="shared" si="32"/>
        <v>0</v>
      </c>
      <c r="K101" s="160">
        <f t="shared" si="32"/>
        <v>0</v>
      </c>
      <c r="L101" s="160">
        <f t="shared" si="32"/>
        <v>0</v>
      </c>
      <c r="M101" s="160">
        <f t="shared" si="32"/>
        <v>576975</v>
      </c>
      <c r="N101" s="160">
        <f>SUM(N97:N100)</f>
        <v>0</v>
      </c>
      <c r="O101" s="160">
        <f t="shared" si="31"/>
        <v>8202847</v>
      </c>
      <c r="P101" s="239">
        <f>SUM(D101-E101-G101-H101-I101-J101-K101-L101-M101)-F101</f>
        <v>-319255</v>
      </c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1:30">
      <c r="A102" s="909"/>
      <c r="B102" s="506">
        <v>104042</v>
      </c>
      <c r="C102" s="507" t="s">
        <v>522</v>
      </c>
      <c r="D102" s="410"/>
      <c r="E102" s="410"/>
      <c r="F102" s="410"/>
      <c r="G102" s="410"/>
      <c r="H102" s="410"/>
      <c r="I102" s="410"/>
      <c r="J102" s="410"/>
      <c r="K102" s="410"/>
      <c r="L102" s="410"/>
      <c r="M102" s="410"/>
      <c r="N102" s="410"/>
      <c r="O102" s="5">
        <f t="shared" si="31"/>
        <v>0</v>
      </c>
      <c r="P102" s="410">
        <f>SUM(D102-E102-G102-H102-I102-J102-K102-L102-M102)-F102</f>
        <v>0</v>
      </c>
    </row>
    <row r="103" spans="1:30">
      <c r="A103" s="909"/>
      <c r="B103" s="508" t="s">
        <v>508</v>
      </c>
      <c r="C103" s="507" t="s">
        <v>516</v>
      </c>
      <c r="D103" s="410"/>
      <c r="E103" s="410"/>
      <c r="F103" s="410"/>
      <c r="G103" s="410"/>
      <c r="H103" s="410"/>
      <c r="I103" s="410"/>
      <c r="J103" s="410"/>
      <c r="K103" s="410"/>
      <c r="L103" s="410"/>
      <c r="M103" s="410"/>
      <c r="N103" s="410"/>
      <c r="O103" s="5">
        <f t="shared" si="31"/>
        <v>0</v>
      </c>
      <c r="P103" s="410">
        <f>SUM(D103-E103-G103-H103-I103-J103-K103-L103-M103)-F103</f>
        <v>0</v>
      </c>
    </row>
    <row r="104" spans="1:30" s="20" customFormat="1">
      <c r="A104" s="909"/>
      <c r="B104" s="769" t="s">
        <v>31</v>
      </c>
      <c r="C104" s="769"/>
      <c r="D104" s="161">
        <f>SUM(D102:D103)</f>
        <v>0</v>
      </c>
      <c r="E104" s="161">
        <f>SUM(E102:E103)</f>
        <v>0</v>
      </c>
      <c r="F104" s="161">
        <f t="shared" ref="F104:M104" si="33">SUM(F102:F103)</f>
        <v>0</v>
      </c>
      <c r="G104" s="161">
        <f t="shared" si="33"/>
        <v>0</v>
      </c>
      <c r="H104" s="161">
        <f t="shared" si="33"/>
        <v>0</v>
      </c>
      <c r="I104" s="161">
        <f t="shared" si="33"/>
        <v>0</v>
      </c>
      <c r="J104" s="161">
        <f t="shared" si="33"/>
        <v>0</v>
      </c>
      <c r="K104" s="161">
        <f t="shared" si="33"/>
        <v>0</v>
      </c>
      <c r="L104" s="161">
        <f t="shared" si="33"/>
        <v>0</v>
      </c>
      <c r="M104" s="161">
        <f t="shared" si="33"/>
        <v>0</v>
      </c>
      <c r="N104" s="161">
        <f>SUM(N102:N103)</f>
        <v>0</v>
      </c>
      <c r="O104" s="161">
        <f t="shared" si="31"/>
        <v>0</v>
      </c>
      <c r="P104" s="240">
        <f>SUM(D104-E104-G104-H104-I104-J104-K104-L104-M104)-F104</f>
        <v>0</v>
      </c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1:30" s="158" customFormat="1" ht="15.75">
      <c r="A105" s="910"/>
      <c r="B105" s="902" t="s">
        <v>35</v>
      </c>
      <c r="C105" s="902"/>
      <c r="D105" s="169">
        <f>SUM(D104,D101)</f>
        <v>7883592</v>
      </c>
      <c r="E105" s="169">
        <f>SUM(E104,E101)</f>
        <v>666088</v>
      </c>
      <c r="F105" s="169">
        <f t="shared" ref="F105:O105" si="34">SUM(F104,F101)</f>
        <v>0</v>
      </c>
      <c r="G105" s="169">
        <f t="shared" si="34"/>
        <v>0</v>
      </c>
      <c r="H105" s="169">
        <f t="shared" si="34"/>
        <v>6959784</v>
      </c>
      <c r="I105" s="169">
        <f t="shared" si="34"/>
        <v>0</v>
      </c>
      <c r="J105" s="169">
        <f t="shared" si="34"/>
        <v>0</v>
      </c>
      <c r="K105" s="169">
        <f t="shared" si="34"/>
        <v>0</v>
      </c>
      <c r="L105" s="169">
        <f t="shared" si="34"/>
        <v>0</v>
      </c>
      <c r="M105" s="169">
        <f t="shared" si="34"/>
        <v>576975</v>
      </c>
      <c r="N105" s="169">
        <f t="shared" si="34"/>
        <v>0</v>
      </c>
      <c r="O105" s="169">
        <f t="shared" si="34"/>
        <v>8202847</v>
      </c>
      <c r="P105" s="169">
        <f>SUM(D105-E105-G105-H105-I105-J105-K105-L105-M105)-F105</f>
        <v>-319255</v>
      </c>
      <c r="Q105" s="159"/>
      <c r="R105" s="159"/>
      <c r="S105" s="159"/>
      <c r="T105" s="159"/>
      <c r="U105" s="159"/>
      <c r="V105" s="159"/>
      <c r="W105" s="159"/>
      <c r="X105" s="159"/>
      <c r="Y105" s="159"/>
      <c r="Z105" s="159"/>
      <c r="AA105" s="159"/>
      <c r="AB105" s="159"/>
      <c r="AC105" s="159"/>
      <c r="AD105" s="159"/>
    </row>
    <row r="106" spans="1:30" s="46" customFormat="1">
      <c r="A106" s="922"/>
      <c r="B106" s="922"/>
      <c r="C106" s="922"/>
      <c r="D106" s="922"/>
      <c r="E106" s="922"/>
      <c r="F106" s="922"/>
      <c r="G106" s="922"/>
      <c r="H106" s="922"/>
      <c r="I106" s="922"/>
      <c r="J106" s="922"/>
      <c r="K106" s="922"/>
      <c r="L106" s="922"/>
      <c r="M106" s="922"/>
      <c r="N106" s="922"/>
      <c r="O106" s="922"/>
      <c r="P106" s="922"/>
    </row>
    <row r="107" spans="1:30" s="46" customFormat="1">
      <c r="A107" s="504"/>
      <c r="B107" s="504">
        <v>107053</v>
      </c>
      <c r="C107" s="477" t="s">
        <v>875</v>
      </c>
      <c r="D107" s="435"/>
      <c r="E107" s="435"/>
      <c r="F107" s="504"/>
      <c r="G107" s="504"/>
      <c r="H107" s="504"/>
      <c r="I107" s="504"/>
      <c r="J107" s="504"/>
      <c r="K107" s="504"/>
      <c r="L107" s="504"/>
      <c r="M107" s="504"/>
      <c r="N107" s="504"/>
      <c r="O107" s="5">
        <f t="shared" ref="O107:O114" si="35">SUM(E107:N107)</f>
        <v>0</v>
      </c>
      <c r="P107" s="410">
        <f>D107-E107-F107-G107-H107-I107-J107-K107-L107-M107-N107</f>
        <v>0</v>
      </c>
    </row>
    <row r="108" spans="1:30">
      <c r="A108" s="908" t="s">
        <v>64</v>
      </c>
      <c r="B108" s="506">
        <v>107052</v>
      </c>
      <c r="C108" s="507" t="s">
        <v>518</v>
      </c>
      <c r="D108" s="410">
        <f>8793380+1014686</f>
        <v>9808066</v>
      </c>
      <c r="E108" s="410">
        <v>1095130</v>
      </c>
      <c r="F108" s="410"/>
      <c r="G108" s="410"/>
      <c r="H108" s="410"/>
      <c r="I108" s="410"/>
      <c r="J108" s="410"/>
      <c r="K108" s="410"/>
      <c r="L108" s="410"/>
      <c r="M108" s="410"/>
      <c r="N108" s="410"/>
      <c r="O108" s="5">
        <f t="shared" si="35"/>
        <v>1095130</v>
      </c>
      <c r="P108" s="410">
        <f>D108-E108-F108-G108-H108-I108-J108-K108-L108-M108-N108</f>
        <v>8712936</v>
      </c>
      <c r="Q108" s="433"/>
      <c r="R108" s="433"/>
      <c r="S108" s="433"/>
      <c r="T108" s="433"/>
      <c r="U108" s="433"/>
    </row>
    <row r="109" spans="1:30">
      <c r="A109" s="909"/>
      <c r="B109" s="508" t="s">
        <v>510</v>
      </c>
      <c r="C109" s="507" t="s">
        <v>533</v>
      </c>
      <c r="D109" s="410">
        <v>1087838</v>
      </c>
      <c r="E109" s="410"/>
      <c r="F109" s="410"/>
      <c r="G109" s="410"/>
      <c r="H109" s="410"/>
      <c r="I109" s="410"/>
      <c r="J109" s="410"/>
      <c r="K109" s="410"/>
      <c r="L109" s="410"/>
      <c r="M109" s="410"/>
      <c r="N109" s="410"/>
      <c r="O109" s="5">
        <f t="shared" si="35"/>
        <v>0</v>
      </c>
      <c r="P109" s="410">
        <f>D109-E109-F109-G109-H109-I109-J109-K109-L109-M109-N109</f>
        <v>1087838</v>
      </c>
      <c r="Q109" s="433"/>
      <c r="R109" s="433"/>
      <c r="S109" s="433"/>
      <c r="T109" s="433"/>
      <c r="U109" s="433"/>
    </row>
    <row r="110" spans="1:30">
      <c r="A110" s="909"/>
      <c r="B110" s="508" t="s">
        <v>508</v>
      </c>
      <c r="C110" s="507" t="s">
        <v>516</v>
      </c>
      <c r="D110" s="5"/>
      <c r="E110" s="410"/>
      <c r="F110" s="410"/>
      <c r="G110" s="410">
        <v>1087838</v>
      </c>
      <c r="H110" s="410">
        <v>8712936</v>
      </c>
      <c r="I110" s="410"/>
      <c r="J110" s="410"/>
      <c r="K110" s="410"/>
      <c r="L110" s="410"/>
      <c r="M110" s="410">
        <v>0</v>
      </c>
      <c r="N110" s="410"/>
      <c r="O110" s="5">
        <f t="shared" si="35"/>
        <v>9800774</v>
      </c>
      <c r="P110" s="410">
        <f>D110-E110-F110-G110-H110-I110-J110-K110-L110-M110-N110</f>
        <v>-9800774</v>
      </c>
      <c r="Q110" s="433"/>
      <c r="R110" s="433"/>
      <c r="S110" s="433"/>
      <c r="T110" s="433"/>
      <c r="U110" s="433"/>
    </row>
    <row r="111" spans="1:30" s="20" customFormat="1">
      <c r="A111" s="909"/>
      <c r="B111" s="927" t="s">
        <v>30</v>
      </c>
      <c r="C111" s="927"/>
      <c r="D111" s="239">
        <f>SUM(D107:D110)</f>
        <v>10895904</v>
      </c>
      <c r="E111" s="239">
        <f t="shared" ref="E111:N111" si="36">SUM(E107:E110)</f>
        <v>1095130</v>
      </c>
      <c r="F111" s="239">
        <f t="shared" si="36"/>
        <v>0</v>
      </c>
      <c r="G111" s="239">
        <f t="shared" si="36"/>
        <v>1087838</v>
      </c>
      <c r="H111" s="239">
        <f t="shared" si="36"/>
        <v>8712936</v>
      </c>
      <c r="I111" s="239">
        <f t="shared" si="36"/>
        <v>0</v>
      </c>
      <c r="J111" s="239">
        <f t="shared" si="36"/>
        <v>0</v>
      </c>
      <c r="K111" s="239">
        <f t="shared" si="36"/>
        <v>0</v>
      </c>
      <c r="L111" s="239">
        <f t="shared" si="36"/>
        <v>0</v>
      </c>
      <c r="M111" s="239">
        <f t="shared" si="36"/>
        <v>0</v>
      </c>
      <c r="N111" s="239">
        <f t="shared" si="36"/>
        <v>0</v>
      </c>
      <c r="O111" s="239">
        <f t="shared" si="35"/>
        <v>10895904</v>
      </c>
      <c r="P111" s="239">
        <f>SUM(P107:P110)</f>
        <v>0</v>
      </c>
      <c r="Q111" s="433"/>
      <c r="R111" s="433"/>
      <c r="S111" s="433"/>
      <c r="T111" s="433"/>
      <c r="U111" s="433"/>
      <c r="V111" s="59"/>
      <c r="W111" s="59"/>
      <c r="X111" s="59"/>
      <c r="Y111" s="59"/>
      <c r="Z111" s="59"/>
      <c r="AA111" s="59"/>
      <c r="AB111" s="59"/>
      <c r="AC111" s="59"/>
      <c r="AD111" s="59"/>
    </row>
    <row r="112" spans="1:30">
      <c r="A112" s="909"/>
      <c r="B112" s="506">
        <v>104042</v>
      </c>
      <c r="C112" s="507" t="s">
        <v>522</v>
      </c>
      <c r="D112" s="410"/>
      <c r="E112" s="410"/>
      <c r="F112" s="410"/>
      <c r="G112" s="410"/>
      <c r="H112" s="410"/>
      <c r="I112" s="410"/>
      <c r="J112" s="410"/>
      <c r="K112" s="410"/>
      <c r="L112" s="410"/>
      <c r="M112" s="410"/>
      <c r="N112" s="410"/>
      <c r="O112" s="5">
        <f t="shared" si="35"/>
        <v>0</v>
      </c>
      <c r="P112" s="410">
        <f>SUM(D112-E112-G112-H112-I112-J112-K112-L112-M112)-F112</f>
        <v>0</v>
      </c>
    </row>
    <row r="113" spans="1:30">
      <c r="A113" s="909"/>
      <c r="B113" s="508" t="s">
        <v>508</v>
      </c>
      <c r="C113" s="507" t="s">
        <v>516</v>
      </c>
      <c r="D113" s="410"/>
      <c r="E113" s="410"/>
      <c r="F113" s="410"/>
      <c r="G113" s="410"/>
      <c r="H113" s="410"/>
      <c r="I113" s="410"/>
      <c r="J113" s="410"/>
      <c r="K113" s="410"/>
      <c r="L113" s="410"/>
      <c r="M113" s="410"/>
      <c r="N113" s="410"/>
      <c r="O113" s="5">
        <f t="shared" si="35"/>
        <v>0</v>
      </c>
      <c r="P113" s="410">
        <f>SUM(D113-E113-G113-H113-I113-J113-K113-L113-M113)-F113</f>
        <v>0</v>
      </c>
    </row>
    <row r="114" spans="1:30" s="20" customFormat="1">
      <c r="A114" s="909"/>
      <c r="B114" s="769" t="s">
        <v>31</v>
      </c>
      <c r="C114" s="769"/>
      <c r="D114" s="161">
        <f>SUM(D112:D113)</f>
        <v>0</v>
      </c>
      <c r="E114" s="161">
        <f>SUM(E112:E113)</f>
        <v>0</v>
      </c>
      <c r="F114" s="161">
        <f t="shared" ref="F114:M114" si="37">SUM(F112:F113)</f>
        <v>0</v>
      </c>
      <c r="G114" s="161">
        <f t="shared" si="37"/>
        <v>0</v>
      </c>
      <c r="H114" s="161">
        <f t="shared" si="37"/>
        <v>0</v>
      </c>
      <c r="I114" s="161">
        <f t="shared" si="37"/>
        <v>0</v>
      </c>
      <c r="J114" s="161">
        <f t="shared" si="37"/>
        <v>0</v>
      </c>
      <c r="K114" s="161">
        <f t="shared" si="37"/>
        <v>0</v>
      </c>
      <c r="L114" s="161">
        <f t="shared" si="37"/>
        <v>0</v>
      </c>
      <c r="M114" s="161">
        <f t="shared" si="37"/>
        <v>0</v>
      </c>
      <c r="N114" s="161">
        <f>SUM(N112:N113)</f>
        <v>0</v>
      </c>
      <c r="O114" s="161">
        <f t="shared" si="35"/>
        <v>0</v>
      </c>
      <c r="P114" s="240">
        <f>SUM(D114-E114-G114-H114-I114-J114-K114-L114-M114)-F114</f>
        <v>0</v>
      </c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1:30" s="158" customFormat="1" ht="15.75">
      <c r="A115" s="910"/>
      <c r="B115" s="902" t="s">
        <v>36</v>
      </c>
      <c r="C115" s="902"/>
      <c r="D115" s="169">
        <f>SUM(D114,D111)</f>
        <v>10895904</v>
      </c>
      <c r="E115" s="169">
        <f>SUM(E114,E111)</f>
        <v>1095130</v>
      </c>
      <c r="F115" s="169">
        <f t="shared" ref="F115:O115" si="38">SUM(F114,F111)</f>
        <v>0</v>
      </c>
      <c r="G115" s="169">
        <f t="shared" si="38"/>
        <v>1087838</v>
      </c>
      <c r="H115" s="169">
        <f t="shared" si="38"/>
        <v>8712936</v>
      </c>
      <c r="I115" s="169">
        <f t="shared" si="38"/>
        <v>0</v>
      </c>
      <c r="J115" s="169">
        <f t="shared" si="38"/>
        <v>0</v>
      </c>
      <c r="K115" s="169">
        <f t="shared" si="38"/>
        <v>0</v>
      </c>
      <c r="L115" s="169">
        <f t="shared" si="38"/>
        <v>0</v>
      </c>
      <c r="M115" s="169">
        <f t="shared" si="38"/>
        <v>0</v>
      </c>
      <c r="N115" s="169">
        <f>SUM(N114,N111)</f>
        <v>0</v>
      </c>
      <c r="O115" s="169">
        <f t="shared" si="38"/>
        <v>10895904</v>
      </c>
      <c r="P115" s="169">
        <f>SUM(D115-E115-G115-H115-I115-J115-K115-L115-M115)-F115</f>
        <v>0</v>
      </c>
      <c r="Q115" s="159"/>
      <c r="R115" s="159"/>
      <c r="S115" s="159"/>
      <c r="T115" s="159"/>
      <c r="U115" s="159"/>
      <c r="V115" s="159"/>
      <c r="W115" s="159"/>
      <c r="X115" s="159"/>
      <c r="Y115" s="159"/>
      <c r="Z115" s="159"/>
      <c r="AA115" s="159"/>
      <c r="AB115" s="159"/>
      <c r="AC115" s="159"/>
      <c r="AD115" s="159"/>
    </row>
    <row r="116" spans="1:30" s="46" customFormat="1">
      <c r="A116" s="925"/>
      <c r="B116" s="925"/>
      <c r="C116" s="925"/>
      <c r="D116" s="925"/>
      <c r="E116" s="925"/>
      <c r="F116" s="925"/>
      <c r="G116" s="925"/>
      <c r="H116" s="925"/>
      <c r="I116" s="925"/>
      <c r="J116" s="925"/>
      <c r="K116" s="925"/>
      <c r="L116" s="925"/>
      <c r="M116" s="925"/>
      <c r="N116" s="925"/>
      <c r="O116" s="925"/>
      <c r="P116" s="926"/>
    </row>
    <row r="117" spans="1:30">
      <c r="A117" s="908" t="s">
        <v>67</v>
      </c>
      <c r="B117" s="506">
        <v>107052</v>
      </c>
      <c r="C117" s="507" t="s">
        <v>518</v>
      </c>
      <c r="D117" s="410">
        <f>4114486+265444</f>
        <v>4379930</v>
      </c>
      <c r="E117" s="410">
        <v>811326</v>
      </c>
      <c r="F117" s="410"/>
      <c r="G117" s="410"/>
      <c r="H117" s="410"/>
      <c r="I117" s="410"/>
      <c r="J117" s="410"/>
      <c r="K117" s="410"/>
      <c r="L117" s="410"/>
      <c r="M117" s="410"/>
      <c r="N117" s="410"/>
      <c r="O117" s="5">
        <f t="shared" ref="O117:O124" si="39">SUM(E117:N117)</f>
        <v>811326</v>
      </c>
      <c r="P117" s="410">
        <f>D117-E117-F117-G117-H117-I117-J117-K117-L117-M117-N117</f>
        <v>3568604</v>
      </c>
    </row>
    <row r="118" spans="1:30">
      <c r="A118" s="909"/>
      <c r="B118" s="506">
        <v>107053</v>
      </c>
      <c r="C118" s="507" t="s">
        <v>519</v>
      </c>
      <c r="D118" s="410">
        <v>82550</v>
      </c>
      <c r="E118" s="410">
        <v>72955</v>
      </c>
      <c r="F118" s="410"/>
      <c r="G118" s="410"/>
      <c r="H118" s="410"/>
      <c r="I118" s="410"/>
      <c r="J118" s="410"/>
      <c r="K118" s="410"/>
      <c r="L118" s="410"/>
      <c r="M118" s="410"/>
      <c r="N118" s="410"/>
      <c r="O118" s="5">
        <f t="shared" si="39"/>
        <v>72955</v>
      </c>
      <c r="P118" s="410">
        <f>D118-E118-F118-G118-H118-I118-J118-K118-L118-M118-N118</f>
        <v>9595</v>
      </c>
    </row>
    <row r="119" spans="1:30">
      <c r="A119" s="909"/>
      <c r="B119" s="508" t="s">
        <v>510</v>
      </c>
      <c r="C119" s="507" t="s">
        <v>533</v>
      </c>
      <c r="D119" s="410">
        <v>1087838</v>
      </c>
      <c r="E119" s="410"/>
      <c r="F119" s="410"/>
      <c r="G119" s="410"/>
      <c r="H119" s="410"/>
      <c r="I119" s="410"/>
      <c r="J119" s="410"/>
      <c r="K119" s="410"/>
      <c r="L119" s="410"/>
      <c r="M119" s="410"/>
      <c r="N119" s="410"/>
      <c r="O119" s="5">
        <f t="shared" si="39"/>
        <v>0</v>
      </c>
      <c r="P119" s="410">
        <f>D119-E119-F119-G119-H119-I119-J119-K119-L119-M119-N119</f>
        <v>1087838</v>
      </c>
    </row>
    <row r="120" spans="1:30">
      <c r="A120" s="909"/>
      <c r="B120" s="508" t="s">
        <v>508</v>
      </c>
      <c r="C120" s="507" t="s">
        <v>516</v>
      </c>
      <c r="D120" s="410"/>
      <c r="E120" s="410"/>
      <c r="F120" s="410"/>
      <c r="G120" s="410">
        <v>1087838</v>
      </c>
      <c r="H120" s="410">
        <v>3526444</v>
      </c>
      <c r="I120" s="410"/>
      <c r="J120" s="410"/>
      <c r="K120" s="410"/>
      <c r="L120" s="410"/>
      <c r="M120" s="410">
        <v>173690</v>
      </c>
      <c r="N120" s="410"/>
      <c r="O120" s="5">
        <f t="shared" si="39"/>
        <v>4787972</v>
      </c>
      <c r="P120" s="410">
        <f>D120-E120-F120-G120-H120-I120-J120-K120-L120-M120-N120</f>
        <v>-4787972</v>
      </c>
    </row>
    <row r="121" spans="1:30" s="20" customFormat="1">
      <c r="A121" s="909"/>
      <c r="B121" s="916" t="s">
        <v>30</v>
      </c>
      <c r="C121" s="917"/>
      <c r="D121" s="160">
        <f>SUM(D117:D120)</f>
        <v>5550318</v>
      </c>
      <c r="E121" s="160">
        <f>SUM(E117:E120)</f>
        <v>884281</v>
      </c>
      <c r="F121" s="160">
        <f t="shared" ref="F121:M121" si="40">SUM(F117:F120)</f>
        <v>0</v>
      </c>
      <c r="G121" s="160">
        <f t="shared" si="40"/>
        <v>1087838</v>
      </c>
      <c r="H121" s="160">
        <f t="shared" si="40"/>
        <v>3526444</v>
      </c>
      <c r="I121" s="160">
        <f t="shared" si="40"/>
        <v>0</v>
      </c>
      <c r="J121" s="160">
        <f t="shared" si="40"/>
        <v>0</v>
      </c>
      <c r="K121" s="160">
        <f t="shared" si="40"/>
        <v>0</v>
      </c>
      <c r="L121" s="160">
        <f t="shared" si="40"/>
        <v>0</v>
      </c>
      <c r="M121" s="160">
        <f t="shared" si="40"/>
        <v>173690</v>
      </c>
      <c r="N121" s="160">
        <f>SUM(N117:N120)</f>
        <v>0</v>
      </c>
      <c r="O121" s="160">
        <f t="shared" si="39"/>
        <v>5672253</v>
      </c>
      <c r="P121" s="239">
        <f>SUM(D121-E121-G121-H121-I121-J121-K121-L121-M121)-F121</f>
        <v>-121935</v>
      </c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</row>
    <row r="122" spans="1:30" s="24" customFormat="1">
      <c r="A122" s="909"/>
      <c r="B122" s="506">
        <v>104042</v>
      </c>
      <c r="C122" s="507" t="s">
        <v>522</v>
      </c>
      <c r="D122" s="410"/>
      <c r="E122" s="410"/>
      <c r="F122" s="410"/>
      <c r="G122" s="410"/>
      <c r="H122" s="410"/>
      <c r="I122" s="410"/>
      <c r="J122" s="410"/>
      <c r="K122" s="410"/>
      <c r="L122" s="410"/>
      <c r="M122" s="410"/>
      <c r="N122" s="410"/>
      <c r="O122" s="5">
        <f t="shared" si="39"/>
        <v>0</v>
      </c>
      <c r="P122" s="410">
        <f>SUM(D122-E122-G122-H122-I122-J122-K122-L122-M122)-F122</f>
        <v>0</v>
      </c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  <c r="AA122" s="108"/>
      <c r="AB122" s="108"/>
      <c r="AC122" s="108"/>
      <c r="AD122" s="108"/>
    </row>
    <row r="123" spans="1:30" s="24" customFormat="1">
      <c r="A123" s="909"/>
      <c r="B123" s="508" t="s">
        <v>508</v>
      </c>
      <c r="C123" s="507" t="s">
        <v>516</v>
      </c>
      <c r="D123" s="410"/>
      <c r="E123" s="410"/>
      <c r="F123" s="410"/>
      <c r="G123" s="410"/>
      <c r="H123" s="410"/>
      <c r="I123" s="410"/>
      <c r="J123" s="410"/>
      <c r="K123" s="410"/>
      <c r="L123" s="410"/>
      <c r="M123" s="410"/>
      <c r="N123" s="410"/>
      <c r="O123" s="5">
        <f t="shared" si="39"/>
        <v>0</v>
      </c>
      <c r="P123" s="410">
        <f>SUM(D123-E123-G123-H123-I123-J123-K123-L123-M123)-F123</f>
        <v>0</v>
      </c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A123" s="108"/>
      <c r="AB123" s="108"/>
      <c r="AC123" s="108"/>
      <c r="AD123" s="108"/>
    </row>
    <row r="124" spans="1:30" s="20" customFormat="1">
      <c r="A124" s="909"/>
      <c r="B124" s="918" t="s">
        <v>31</v>
      </c>
      <c r="C124" s="919"/>
      <c r="D124" s="161">
        <f>SUM(D122:D123)</f>
        <v>0</v>
      </c>
      <c r="E124" s="161">
        <f>SUM(E122:E123)</f>
        <v>0</v>
      </c>
      <c r="F124" s="161">
        <f t="shared" ref="F124:M124" si="41">SUM(F122:F123)</f>
        <v>0</v>
      </c>
      <c r="G124" s="161">
        <f t="shared" si="41"/>
        <v>0</v>
      </c>
      <c r="H124" s="161">
        <f t="shared" si="41"/>
        <v>0</v>
      </c>
      <c r="I124" s="161">
        <f t="shared" si="41"/>
        <v>0</v>
      </c>
      <c r="J124" s="161">
        <f t="shared" si="41"/>
        <v>0</v>
      </c>
      <c r="K124" s="161">
        <f t="shared" si="41"/>
        <v>0</v>
      </c>
      <c r="L124" s="161">
        <f t="shared" si="41"/>
        <v>0</v>
      </c>
      <c r="M124" s="161">
        <f t="shared" si="41"/>
        <v>0</v>
      </c>
      <c r="N124" s="161">
        <f>SUM(N122:N123)</f>
        <v>0</v>
      </c>
      <c r="O124" s="161">
        <f t="shared" si="39"/>
        <v>0</v>
      </c>
      <c r="P124" s="240">
        <f>SUM(D124-E124-G124-H124-I124-J124-K124-L124-M124)-F124</f>
        <v>0</v>
      </c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</row>
    <row r="125" spans="1:30" s="158" customFormat="1" ht="15.75">
      <c r="A125" s="910"/>
      <c r="B125" s="920" t="s">
        <v>37</v>
      </c>
      <c r="C125" s="921"/>
      <c r="D125" s="169">
        <f>SUM(D124)+D121</f>
        <v>5550318</v>
      </c>
      <c r="E125" s="169">
        <f>SUM(E124)+E121</f>
        <v>884281</v>
      </c>
      <c r="F125" s="169">
        <f t="shared" ref="F125:O125" si="42">SUM(F124)+F121</f>
        <v>0</v>
      </c>
      <c r="G125" s="169">
        <f t="shared" si="42"/>
        <v>1087838</v>
      </c>
      <c r="H125" s="169">
        <f t="shared" si="42"/>
        <v>3526444</v>
      </c>
      <c r="I125" s="169">
        <f t="shared" si="42"/>
        <v>0</v>
      </c>
      <c r="J125" s="169">
        <f t="shared" si="42"/>
        <v>0</v>
      </c>
      <c r="K125" s="169">
        <f t="shared" si="42"/>
        <v>0</v>
      </c>
      <c r="L125" s="169">
        <f t="shared" si="42"/>
        <v>0</v>
      </c>
      <c r="M125" s="169">
        <f t="shared" si="42"/>
        <v>173690</v>
      </c>
      <c r="N125" s="169">
        <f>SUM(N124)+N121</f>
        <v>0</v>
      </c>
      <c r="O125" s="169">
        <f t="shared" si="42"/>
        <v>5672253</v>
      </c>
      <c r="P125" s="169">
        <f>SUM(D125-E125-G125-H125-I125-J125-K125-L125-M125)-F125</f>
        <v>-121935</v>
      </c>
      <c r="Q125" s="159"/>
      <c r="R125" s="159"/>
      <c r="S125" s="159"/>
      <c r="T125" s="159"/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</row>
    <row r="126" spans="1:30" s="46" customFormat="1">
      <c r="A126" s="922"/>
      <c r="B126" s="922"/>
      <c r="C126" s="922"/>
      <c r="D126" s="922"/>
      <c r="E126" s="922"/>
      <c r="F126" s="922"/>
      <c r="G126" s="922"/>
      <c r="H126" s="922"/>
      <c r="I126" s="922"/>
      <c r="J126" s="922"/>
      <c r="K126" s="922"/>
      <c r="L126" s="922"/>
      <c r="M126" s="922"/>
      <c r="N126" s="922"/>
      <c r="O126" s="922"/>
      <c r="P126" s="922"/>
    </row>
    <row r="127" spans="1:30">
      <c r="A127" s="908" t="s">
        <v>192</v>
      </c>
      <c r="B127" s="506">
        <v>107052</v>
      </c>
      <c r="C127" s="507" t="s">
        <v>518</v>
      </c>
      <c r="D127" s="410">
        <f>7083309+730746</f>
        <v>7814055</v>
      </c>
      <c r="E127" s="410">
        <v>595620</v>
      </c>
      <c r="F127" s="410"/>
      <c r="G127" s="410"/>
      <c r="H127" s="410"/>
      <c r="I127" s="410"/>
      <c r="J127" s="410"/>
      <c r="K127" s="410"/>
      <c r="L127" s="410"/>
      <c r="M127" s="410"/>
      <c r="N127" s="410"/>
      <c r="O127" s="5">
        <f t="shared" ref="O127:O133" si="43">SUM(E127:N127)</f>
        <v>595620</v>
      </c>
      <c r="P127" s="410">
        <f>D127-E127-F127-G127-H127-I127-J127-K127-L127-M127-N127</f>
        <v>7218435</v>
      </c>
    </row>
    <row r="128" spans="1:30">
      <c r="A128" s="909"/>
      <c r="B128" s="508" t="s">
        <v>510</v>
      </c>
      <c r="C128" s="507" t="s">
        <v>533</v>
      </c>
      <c r="D128" s="410"/>
      <c r="E128" s="410"/>
      <c r="F128" s="410"/>
      <c r="G128" s="410"/>
      <c r="H128" s="410"/>
      <c r="I128" s="410"/>
      <c r="J128" s="410"/>
      <c r="K128" s="410"/>
      <c r="L128" s="410"/>
      <c r="M128" s="410"/>
      <c r="N128" s="410"/>
      <c r="O128" s="5">
        <f t="shared" si="43"/>
        <v>0</v>
      </c>
      <c r="P128" s="410">
        <f>D128-E128-F128-G128-H128-I128-J128-K128-L128-M128-N128</f>
        <v>0</v>
      </c>
    </row>
    <row r="129" spans="1:30">
      <c r="A129" s="909"/>
      <c r="B129" s="508" t="s">
        <v>508</v>
      </c>
      <c r="C129" s="507" t="s">
        <v>516</v>
      </c>
      <c r="D129" s="5"/>
      <c r="E129" s="410"/>
      <c r="F129" s="410"/>
      <c r="G129" s="410"/>
      <c r="H129" s="410">
        <v>6629346</v>
      </c>
      <c r="I129" s="410"/>
      <c r="J129" s="410"/>
      <c r="K129" s="410"/>
      <c r="L129" s="410"/>
      <c r="M129" s="410">
        <v>627506</v>
      </c>
      <c r="N129" s="410"/>
      <c r="O129" s="5">
        <f t="shared" si="43"/>
        <v>7256852</v>
      </c>
      <c r="P129" s="410">
        <f>D129-E129-F129-G129-H129-I129-J129-K129-L129-M129-N129</f>
        <v>-7256852</v>
      </c>
    </row>
    <row r="130" spans="1:30" s="20" customFormat="1">
      <c r="A130" s="909"/>
      <c r="B130" s="923" t="s">
        <v>30</v>
      </c>
      <c r="C130" s="923"/>
      <c r="D130" s="160">
        <f>SUM(D127:D129)</f>
        <v>7814055</v>
      </c>
      <c r="E130" s="160">
        <f t="shared" ref="E130:N130" si="44">SUM(E127:E129)</f>
        <v>595620</v>
      </c>
      <c r="F130" s="160">
        <f t="shared" si="44"/>
        <v>0</v>
      </c>
      <c r="G130" s="160">
        <f t="shared" si="44"/>
        <v>0</v>
      </c>
      <c r="H130" s="160">
        <f t="shared" si="44"/>
        <v>6629346</v>
      </c>
      <c r="I130" s="160">
        <f t="shared" si="44"/>
        <v>0</v>
      </c>
      <c r="J130" s="160">
        <f t="shared" si="44"/>
        <v>0</v>
      </c>
      <c r="K130" s="160">
        <f t="shared" si="44"/>
        <v>0</v>
      </c>
      <c r="L130" s="160">
        <f t="shared" si="44"/>
        <v>0</v>
      </c>
      <c r="M130" s="160">
        <f t="shared" si="44"/>
        <v>627506</v>
      </c>
      <c r="N130" s="160">
        <f t="shared" si="44"/>
        <v>0</v>
      </c>
      <c r="O130" s="160">
        <f t="shared" si="43"/>
        <v>7852472</v>
      </c>
      <c r="P130" s="239">
        <f>SUM(D130-E130-G130-H130-I130-J130-K130-L130-M130)-F130</f>
        <v>-38417</v>
      </c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</row>
    <row r="131" spans="1:30">
      <c r="A131" s="909"/>
      <c r="B131" s="506">
        <v>104042</v>
      </c>
      <c r="C131" s="507" t="s">
        <v>522</v>
      </c>
      <c r="D131" s="410"/>
      <c r="E131" s="410"/>
      <c r="F131" s="410"/>
      <c r="G131" s="410"/>
      <c r="H131" s="410"/>
      <c r="I131" s="410"/>
      <c r="J131" s="410"/>
      <c r="K131" s="410"/>
      <c r="L131" s="410"/>
      <c r="M131" s="410"/>
      <c r="N131" s="410"/>
      <c r="O131" s="5">
        <f t="shared" si="43"/>
        <v>0</v>
      </c>
      <c r="P131" s="410">
        <f>SUM(D131-E131-G131-H131-I131-J131-K131-L131-M131)-F131</f>
        <v>0</v>
      </c>
    </row>
    <row r="132" spans="1:30" s="24" customFormat="1">
      <c r="A132" s="909"/>
      <c r="B132" s="508" t="s">
        <v>508</v>
      </c>
      <c r="C132" s="507" t="s">
        <v>516</v>
      </c>
      <c r="D132" s="410"/>
      <c r="E132" s="410"/>
      <c r="F132" s="410"/>
      <c r="G132" s="410"/>
      <c r="H132" s="410"/>
      <c r="I132" s="410"/>
      <c r="J132" s="410"/>
      <c r="K132" s="410"/>
      <c r="L132" s="410"/>
      <c r="M132" s="410"/>
      <c r="N132" s="410"/>
      <c r="O132" s="5">
        <f t="shared" si="43"/>
        <v>0</v>
      </c>
      <c r="P132" s="410">
        <f>SUM(D132-E132-G132-H132-I132-J132-K132-L132-M132)-F132</f>
        <v>0</v>
      </c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108"/>
      <c r="AB132" s="108"/>
      <c r="AC132" s="108"/>
      <c r="AD132" s="108"/>
    </row>
    <row r="133" spans="1:30" s="20" customFormat="1">
      <c r="A133" s="909"/>
      <c r="B133" s="769" t="s">
        <v>31</v>
      </c>
      <c r="C133" s="769"/>
      <c r="D133" s="161">
        <f>SUM(D131:D132)</f>
        <v>0</v>
      </c>
      <c r="E133" s="161">
        <f>SUM(E131:E132)</f>
        <v>0</v>
      </c>
      <c r="F133" s="161">
        <f t="shared" ref="F133:M133" si="45">SUM(F131:F132)</f>
        <v>0</v>
      </c>
      <c r="G133" s="161">
        <f t="shared" si="45"/>
        <v>0</v>
      </c>
      <c r="H133" s="161">
        <f t="shared" si="45"/>
        <v>0</v>
      </c>
      <c r="I133" s="161">
        <f t="shared" si="45"/>
        <v>0</v>
      </c>
      <c r="J133" s="161">
        <f t="shared" si="45"/>
        <v>0</v>
      </c>
      <c r="K133" s="161">
        <f t="shared" si="45"/>
        <v>0</v>
      </c>
      <c r="L133" s="161">
        <f t="shared" si="45"/>
        <v>0</v>
      </c>
      <c r="M133" s="161">
        <f t="shared" si="45"/>
        <v>0</v>
      </c>
      <c r="N133" s="161">
        <f>SUM(N131:N132)</f>
        <v>0</v>
      </c>
      <c r="O133" s="161">
        <f t="shared" si="43"/>
        <v>0</v>
      </c>
      <c r="P133" s="240">
        <f>SUM(D133-E133-G133-H133-I133-J133-K133-L133-M133)-F133</f>
        <v>0</v>
      </c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</row>
    <row r="134" spans="1:30" s="158" customFormat="1" ht="15.75">
      <c r="A134" s="910"/>
      <c r="B134" s="902" t="s">
        <v>38</v>
      </c>
      <c r="C134" s="902"/>
      <c r="D134" s="169">
        <f>SUM(D133,D130)</f>
        <v>7814055</v>
      </c>
      <c r="E134" s="169">
        <f>SUM(E133,E130)</f>
        <v>595620</v>
      </c>
      <c r="F134" s="169">
        <f t="shared" ref="F134:O134" si="46">SUM(F133,F130)</f>
        <v>0</v>
      </c>
      <c r="G134" s="169">
        <f t="shared" si="46"/>
        <v>0</v>
      </c>
      <c r="H134" s="169">
        <f t="shared" si="46"/>
        <v>6629346</v>
      </c>
      <c r="I134" s="169">
        <f t="shared" si="46"/>
        <v>0</v>
      </c>
      <c r="J134" s="169">
        <f t="shared" si="46"/>
        <v>0</v>
      </c>
      <c r="K134" s="169">
        <f t="shared" si="46"/>
        <v>0</v>
      </c>
      <c r="L134" s="169">
        <f t="shared" si="46"/>
        <v>0</v>
      </c>
      <c r="M134" s="169">
        <f t="shared" si="46"/>
        <v>627506</v>
      </c>
      <c r="N134" s="169">
        <f>SUM(N133,N130)</f>
        <v>0</v>
      </c>
      <c r="O134" s="169">
        <f t="shared" si="46"/>
        <v>7852472</v>
      </c>
      <c r="P134" s="169">
        <f>SUM(D134-E134-G134-H134-I134-J134-K134-L134-M134)-F134</f>
        <v>-38417</v>
      </c>
      <c r="Q134" s="159"/>
      <c r="R134" s="159"/>
      <c r="S134" s="159"/>
      <c r="T134" s="159"/>
      <c r="U134" s="159"/>
      <c r="V134" s="159"/>
      <c r="W134" s="159"/>
      <c r="X134" s="159"/>
      <c r="Y134" s="159"/>
      <c r="Z134" s="159"/>
      <c r="AA134" s="159"/>
      <c r="AB134" s="159"/>
      <c r="AC134" s="159"/>
      <c r="AD134" s="159"/>
    </row>
    <row r="135" spans="1:30" s="46" customFormat="1">
      <c r="A135" s="912"/>
      <c r="B135" s="912"/>
      <c r="C135" s="912"/>
      <c r="D135" s="912"/>
      <c r="E135" s="912"/>
      <c r="F135" s="912"/>
      <c r="G135" s="912"/>
      <c r="H135" s="912"/>
      <c r="I135" s="912"/>
      <c r="J135" s="912"/>
      <c r="K135" s="912"/>
      <c r="L135" s="912"/>
      <c r="M135" s="912"/>
      <c r="N135" s="912"/>
      <c r="O135" s="912"/>
      <c r="P135" s="913"/>
    </row>
    <row r="136" spans="1:30">
      <c r="A136" s="908" t="s">
        <v>70</v>
      </c>
      <c r="B136" s="506">
        <v>107052</v>
      </c>
      <c r="C136" s="507" t="s">
        <v>518</v>
      </c>
      <c r="D136" s="410">
        <f>12711537+1638335</f>
        <v>14349872</v>
      </c>
      <c r="E136" s="410">
        <v>1268590</v>
      </c>
      <c r="F136" s="410"/>
      <c r="G136" s="410"/>
      <c r="H136" s="410"/>
      <c r="I136" s="410"/>
      <c r="J136" s="410"/>
      <c r="K136" s="410"/>
      <c r="L136" s="410"/>
      <c r="M136" s="410"/>
      <c r="N136" s="410"/>
      <c r="O136" s="5">
        <f t="shared" ref="O136:O143" si="47">SUM(E136:N136)</f>
        <v>1268590</v>
      </c>
      <c r="P136" s="410">
        <f>D136-E136-F136-G136-H136-I136-J136-K136-L136-M136-N136</f>
        <v>13081282</v>
      </c>
    </row>
    <row r="137" spans="1:30">
      <c r="A137" s="909"/>
      <c r="B137" s="506">
        <v>107053</v>
      </c>
      <c r="C137" s="507" t="s">
        <v>519</v>
      </c>
      <c r="D137" s="410">
        <v>2740542</v>
      </c>
      <c r="E137" s="410">
        <v>446840</v>
      </c>
      <c r="F137" s="410"/>
      <c r="G137" s="410"/>
      <c r="H137" s="410"/>
      <c r="I137" s="410"/>
      <c r="J137" s="410"/>
      <c r="K137" s="410"/>
      <c r="L137" s="410"/>
      <c r="M137" s="410"/>
      <c r="N137" s="410"/>
      <c r="O137" s="5">
        <f t="shared" si="47"/>
        <v>446840</v>
      </c>
      <c r="P137" s="410">
        <f>D137-E137-F137-G137-H137-I137-J137-K137-L137-M137-N137</f>
        <v>2293702</v>
      </c>
    </row>
    <row r="138" spans="1:30">
      <c r="A138" s="909"/>
      <c r="B138" s="508" t="s">
        <v>510</v>
      </c>
      <c r="C138" s="507" t="s">
        <v>533</v>
      </c>
      <c r="D138" s="410"/>
      <c r="E138" s="410"/>
      <c r="F138" s="410"/>
      <c r="G138" s="410"/>
      <c r="H138" s="410"/>
      <c r="I138" s="410"/>
      <c r="J138" s="410"/>
      <c r="K138" s="410"/>
      <c r="L138" s="410"/>
      <c r="M138" s="410"/>
      <c r="N138" s="410"/>
      <c r="O138" s="5">
        <f t="shared" si="47"/>
        <v>0</v>
      </c>
      <c r="P138" s="410">
        <f>D138-E138-F138-G138-H138-I138-J138-K138-L138-M138-N138</f>
        <v>0</v>
      </c>
    </row>
    <row r="139" spans="1:30">
      <c r="A139" s="909"/>
      <c r="B139" s="508" t="s">
        <v>508</v>
      </c>
      <c r="C139" s="507" t="s">
        <v>516</v>
      </c>
      <c r="D139" s="410"/>
      <c r="E139" s="410"/>
      <c r="F139" s="410"/>
      <c r="G139" s="410">
        <v>1863840</v>
      </c>
      <c r="H139" s="410">
        <v>13468435</v>
      </c>
      <c r="I139" s="410"/>
      <c r="J139" s="410"/>
      <c r="K139" s="410"/>
      <c r="L139" s="410"/>
      <c r="M139" s="410">
        <v>42709</v>
      </c>
      <c r="N139" s="410"/>
      <c r="O139" s="5">
        <f t="shared" si="47"/>
        <v>15374984</v>
      </c>
      <c r="P139" s="410">
        <f>D139-E139-F139-G139-H139-I139-J139-K139-L139-M139-N139</f>
        <v>-15374984</v>
      </c>
    </row>
    <row r="140" spans="1:30" s="20" customFormat="1">
      <c r="A140" s="909"/>
      <c r="B140" s="923" t="s">
        <v>30</v>
      </c>
      <c r="C140" s="923"/>
      <c r="D140" s="160">
        <f>SUM(D136:D139)</f>
        <v>17090414</v>
      </c>
      <c r="E140" s="160">
        <f>SUM(E136:E138)</f>
        <v>1715430</v>
      </c>
      <c r="F140" s="160">
        <f t="shared" ref="F140:L140" si="48">SUM(F136:F138)</f>
        <v>0</v>
      </c>
      <c r="G140" s="160">
        <f>SUM(G136:G139)</f>
        <v>1863840</v>
      </c>
      <c r="H140" s="160">
        <f>SUM(H136:H139)</f>
        <v>13468435</v>
      </c>
      <c r="I140" s="160">
        <f t="shared" si="48"/>
        <v>0</v>
      </c>
      <c r="J140" s="160">
        <f t="shared" si="48"/>
        <v>0</v>
      </c>
      <c r="K140" s="160">
        <f t="shared" si="48"/>
        <v>0</v>
      </c>
      <c r="L140" s="160">
        <f t="shared" si="48"/>
        <v>0</v>
      </c>
      <c r="M140" s="160">
        <f>SUM(M136:M139)</f>
        <v>42709</v>
      </c>
      <c r="N140" s="160">
        <f>SUM(N136:N138)</f>
        <v>0</v>
      </c>
      <c r="O140" s="160">
        <f t="shared" si="47"/>
        <v>17090414</v>
      </c>
      <c r="P140" s="239">
        <f>SUM(D140-E140-G140-H140-I140-J140-K140-L140-M140)-F140</f>
        <v>0</v>
      </c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</row>
    <row r="141" spans="1:30">
      <c r="A141" s="909"/>
      <c r="B141" s="506">
        <v>104042</v>
      </c>
      <c r="C141" s="507" t="s">
        <v>522</v>
      </c>
      <c r="D141" s="410">
        <f>7784672+1106374</f>
        <v>8891046</v>
      </c>
      <c r="E141" s="410"/>
      <c r="F141" s="410"/>
      <c r="G141" s="410"/>
      <c r="H141" s="410"/>
      <c r="I141" s="410"/>
      <c r="J141" s="410"/>
      <c r="K141" s="410"/>
      <c r="L141" s="410"/>
      <c r="M141" s="410"/>
      <c r="N141" s="410"/>
      <c r="O141" s="5">
        <f t="shared" si="47"/>
        <v>0</v>
      </c>
      <c r="P141" s="410">
        <f>SUM(D141-E141-G141-H141-I141-J141-K141-L141-M141)-F141</f>
        <v>8891046</v>
      </c>
    </row>
    <row r="142" spans="1:30">
      <c r="A142" s="909"/>
      <c r="B142" s="508" t="s">
        <v>508</v>
      </c>
      <c r="C142" s="507" t="s">
        <v>516</v>
      </c>
      <c r="D142" s="410"/>
      <c r="E142" s="410"/>
      <c r="F142" s="410"/>
      <c r="G142" s="410">
        <v>3231939</v>
      </c>
      <c r="H142" s="410">
        <v>5362574</v>
      </c>
      <c r="I142" s="410"/>
      <c r="J142" s="410"/>
      <c r="K142" s="410"/>
      <c r="L142" s="410"/>
      <c r="M142" s="410">
        <v>832855</v>
      </c>
      <c r="N142" s="410"/>
      <c r="O142" s="5">
        <f t="shared" si="47"/>
        <v>9427368</v>
      </c>
      <c r="P142" s="410">
        <f>SUM(D142-E142-G142-H142-I142-J142-K142-L142-M142)-F142</f>
        <v>-9427368</v>
      </c>
    </row>
    <row r="143" spans="1:30" s="20" customFormat="1">
      <c r="A143" s="909"/>
      <c r="B143" s="769" t="s">
        <v>31</v>
      </c>
      <c r="C143" s="769"/>
      <c r="D143" s="161">
        <f t="shared" ref="D143:N143" si="49">SUM(D141:D142)</f>
        <v>8891046</v>
      </c>
      <c r="E143" s="161">
        <f t="shared" si="49"/>
        <v>0</v>
      </c>
      <c r="F143" s="161">
        <f t="shared" si="49"/>
        <v>0</v>
      </c>
      <c r="G143" s="161">
        <f t="shared" si="49"/>
        <v>3231939</v>
      </c>
      <c r="H143" s="161">
        <f t="shared" si="49"/>
        <v>5362574</v>
      </c>
      <c r="I143" s="161">
        <f t="shared" si="49"/>
        <v>0</v>
      </c>
      <c r="J143" s="161">
        <f t="shared" si="49"/>
        <v>0</v>
      </c>
      <c r="K143" s="161">
        <f t="shared" si="49"/>
        <v>0</v>
      </c>
      <c r="L143" s="161">
        <f t="shared" si="49"/>
        <v>0</v>
      </c>
      <c r="M143" s="161">
        <f t="shared" si="49"/>
        <v>832855</v>
      </c>
      <c r="N143" s="161">
        <f t="shared" si="49"/>
        <v>0</v>
      </c>
      <c r="O143" s="161">
        <f t="shared" si="47"/>
        <v>9427368</v>
      </c>
      <c r="P143" s="240">
        <f>SUM(D143-E143-G143-H143-I143-J143-K143-L143-M143)-F143</f>
        <v>-536322</v>
      </c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</row>
    <row r="144" spans="1:30" s="158" customFormat="1" ht="15.75">
      <c r="A144" s="910"/>
      <c r="B144" s="902" t="s">
        <v>197</v>
      </c>
      <c r="C144" s="902"/>
      <c r="D144" s="169">
        <f t="shared" ref="D144:O144" si="50">SUM(D143,D140)</f>
        <v>25981460</v>
      </c>
      <c r="E144" s="169">
        <f t="shared" si="50"/>
        <v>1715430</v>
      </c>
      <c r="F144" s="169">
        <f t="shared" si="50"/>
        <v>0</v>
      </c>
      <c r="G144" s="169">
        <f t="shared" si="50"/>
        <v>5095779</v>
      </c>
      <c r="H144" s="169">
        <f t="shared" si="50"/>
        <v>18831009</v>
      </c>
      <c r="I144" s="169">
        <f t="shared" si="50"/>
        <v>0</v>
      </c>
      <c r="J144" s="169">
        <f t="shared" si="50"/>
        <v>0</v>
      </c>
      <c r="K144" s="169">
        <f t="shared" si="50"/>
        <v>0</v>
      </c>
      <c r="L144" s="169">
        <f t="shared" si="50"/>
        <v>0</v>
      </c>
      <c r="M144" s="169">
        <f t="shared" si="50"/>
        <v>875564</v>
      </c>
      <c r="N144" s="169">
        <f t="shared" si="50"/>
        <v>0</v>
      </c>
      <c r="O144" s="169">
        <f t="shared" si="50"/>
        <v>26517782</v>
      </c>
      <c r="P144" s="169">
        <f>SUM(D144-E144-G144-H144-I144-J144-K144-L144-M144)-F144</f>
        <v>-536322</v>
      </c>
      <c r="Q144" s="159"/>
      <c r="R144" s="159"/>
      <c r="S144" s="159"/>
      <c r="T144" s="159"/>
      <c r="U144" s="159"/>
      <c r="V144" s="159"/>
      <c r="W144" s="159"/>
      <c r="X144" s="159"/>
      <c r="Y144" s="159"/>
      <c r="Z144" s="159"/>
      <c r="AA144" s="159"/>
      <c r="AB144" s="159"/>
      <c r="AC144" s="159"/>
      <c r="AD144" s="159"/>
    </row>
    <row r="145" spans="1:30" s="46" customFormat="1">
      <c r="A145" s="922"/>
      <c r="B145" s="922"/>
      <c r="C145" s="922"/>
      <c r="D145" s="922"/>
      <c r="E145" s="922"/>
      <c r="F145" s="922"/>
      <c r="G145" s="922"/>
      <c r="H145" s="922"/>
      <c r="I145" s="922"/>
      <c r="J145" s="922"/>
      <c r="K145" s="922"/>
      <c r="L145" s="922"/>
      <c r="M145" s="922"/>
      <c r="N145" s="922"/>
      <c r="O145" s="922"/>
      <c r="P145" s="922"/>
    </row>
    <row r="146" spans="1:30">
      <c r="A146" s="908" t="s">
        <v>62</v>
      </c>
      <c r="B146" s="506">
        <v>107052</v>
      </c>
      <c r="C146" s="507" t="s">
        <v>518</v>
      </c>
      <c r="D146" s="410">
        <f>6174712+622573</f>
        <v>6797285</v>
      </c>
      <c r="E146" s="410">
        <v>531625</v>
      </c>
      <c r="F146" s="410"/>
      <c r="G146" s="410"/>
      <c r="H146" s="410"/>
      <c r="I146" s="410"/>
      <c r="J146" s="410"/>
      <c r="K146" s="410"/>
      <c r="L146" s="410"/>
      <c r="M146" s="410"/>
      <c r="N146" s="410"/>
      <c r="O146" s="5">
        <f t="shared" ref="O146:O153" si="51">SUM(E146:N146)</f>
        <v>531625</v>
      </c>
      <c r="P146" s="410">
        <f>D146-E146-F146-G146-H146-I146-J146-K146-L146-M146-N146</f>
        <v>6265660</v>
      </c>
    </row>
    <row r="147" spans="1:30">
      <c r="A147" s="909"/>
      <c r="B147" s="506">
        <v>107053</v>
      </c>
      <c r="C147" s="507" t="s">
        <v>519</v>
      </c>
      <c r="D147" s="410">
        <v>41910</v>
      </c>
      <c r="E147" s="410">
        <v>20635</v>
      </c>
      <c r="F147" s="410"/>
      <c r="G147" s="410"/>
      <c r="H147" s="410"/>
      <c r="I147" s="410"/>
      <c r="J147" s="410"/>
      <c r="K147" s="410"/>
      <c r="L147" s="410"/>
      <c r="M147" s="410"/>
      <c r="N147" s="410"/>
      <c r="O147" s="5">
        <f t="shared" si="51"/>
        <v>20635</v>
      </c>
      <c r="P147" s="410">
        <f>D147-E147-F147-G147-H147-I147-J147-K147-L147-M147-N147</f>
        <v>21275</v>
      </c>
    </row>
    <row r="148" spans="1:30">
      <c r="A148" s="909"/>
      <c r="B148" s="508" t="s">
        <v>510</v>
      </c>
      <c r="C148" s="507" t="s">
        <v>533</v>
      </c>
      <c r="D148" s="410"/>
      <c r="E148" s="410"/>
      <c r="F148" s="410"/>
      <c r="G148" s="410"/>
      <c r="H148" s="410"/>
      <c r="I148" s="410"/>
      <c r="J148" s="410"/>
      <c r="K148" s="410"/>
      <c r="L148" s="410"/>
      <c r="M148" s="410"/>
      <c r="N148" s="410"/>
      <c r="O148" s="5">
        <f t="shared" si="51"/>
        <v>0</v>
      </c>
      <c r="P148" s="410">
        <f>D148-E148-F148-G148-H148-I148-J148-K148-L148-M148-N148</f>
        <v>0</v>
      </c>
    </row>
    <row r="149" spans="1:30">
      <c r="A149" s="909"/>
      <c r="B149" s="508" t="s">
        <v>508</v>
      </c>
      <c r="C149" s="507" t="s">
        <v>516</v>
      </c>
      <c r="D149" s="410"/>
      <c r="E149" s="410"/>
      <c r="F149" s="410"/>
      <c r="G149" s="410">
        <v>267146</v>
      </c>
      <c r="H149" s="410">
        <v>6060473</v>
      </c>
      <c r="I149" s="410"/>
      <c r="J149" s="410"/>
      <c r="K149" s="410"/>
      <c r="L149" s="410"/>
      <c r="M149" s="410">
        <v>153112</v>
      </c>
      <c r="N149" s="410"/>
      <c r="O149" s="5">
        <f t="shared" si="51"/>
        <v>6480731</v>
      </c>
      <c r="P149" s="410">
        <f>D149-E149-F149-G149-H149-I149-J149-K149-L149-M149-N149</f>
        <v>-6480731</v>
      </c>
    </row>
    <row r="150" spans="1:30" s="20" customFormat="1">
      <c r="A150" s="909"/>
      <c r="B150" s="923" t="s">
        <v>30</v>
      </c>
      <c r="C150" s="923"/>
      <c r="D150" s="160">
        <f>SUM(D146:D149)</f>
        <v>6839195</v>
      </c>
      <c r="E150" s="160">
        <f>SUM(E146:E149)</f>
        <v>552260</v>
      </c>
      <c r="F150" s="160">
        <f t="shared" ref="F150:M150" si="52">SUM(F146:F149)</f>
        <v>0</v>
      </c>
      <c r="G150" s="160">
        <f t="shared" si="52"/>
        <v>267146</v>
      </c>
      <c r="H150" s="160">
        <f t="shared" si="52"/>
        <v>6060473</v>
      </c>
      <c r="I150" s="160">
        <f t="shared" si="52"/>
        <v>0</v>
      </c>
      <c r="J150" s="160">
        <f t="shared" si="52"/>
        <v>0</v>
      </c>
      <c r="K150" s="160">
        <f t="shared" si="52"/>
        <v>0</v>
      </c>
      <c r="L150" s="160">
        <f t="shared" si="52"/>
        <v>0</v>
      </c>
      <c r="M150" s="160">
        <f t="shared" si="52"/>
        <v>153112</v>
      </c>
      <c r="N150" s="160">
        <f>SUM(N146:N149)</f>
        <v>0</v>
      </c>
      <c r="O150" s="160">
        <f t="shared" si="51"/>
        <v>7032991</v>
      </c>
      <c r="P150" s="239">
        <f>SUM(D150-E150-G150-H150-I150-J150-K150-L150-M150)-F150</f>
        <v>-193796</v>
      </c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</row>
    <row r="151" spans="1:30">
      <c r="A151" s="909"/>
      <c r="B151" s="506">
        <v>104042</v>
      </c>
      <c r="C151" s="507" t="s">
        <v>522</v>
      </c>
      <c r="D151" s="410"/>
      <c r="E151" s="410"/>
      <c r="F151" s="410"/>
      <c r="G151" s="410"/>
      <c r="H151" s="410"/>
      <c r="I151" s="410"/>
      <c r="J151" s="410"/>
      <c r="K151" s="410"/>
      <c r="L151" s="410"/>
      <c r="M151" s="410"/>
      <c r="N151" s="410"/>
      <c r="O151" s="5">
        <f t="shared" si="51"/>
        <v>0</v>
      </c>
      <c r="P151" s="410">
        <f>SUM(D151-E151-G151-H151-I151-J151-K151-L151-M151)-F151</f>
        <v>0</v>
      </c>
    </row>
    <row r="152" spans="1:30">
      <c r="A152" s="909"/>
      <c r="B152" s="508" t="s">
        <v>508</v>
      </c>
      <c r="C152" s="507" t="s">
        <v>516</v>
      </c>
      <c r="D152" s="410"/>
      <c r="E152" s="410"/>
      <c r="F152" s="410"/>
      <c r="G152" s="410"/>
      <c r="H152" s="410"/>
      <c r="I152" s="410"/>
      <c r="J152" s="410"/>
      <c r="K152" s="410"/>
      <c r="L152" s="410"/>
      <c r="M152" s="410"/>
      <c r="N152" s="410"/>
      <c r="O152" s="5">
        <f t="shared" si="51"/>
        <v>0</v>
      </c>
      <c r="P152" s="410">
        <f>SUM(D152-E152-G152-H152-I152-J152-K152-L152-M152)-F152</f>
        <v>0</v>
      </c>
    </row>
    <row r="153" spans="1:30" s="20" customFormat="1">
      <c r="A153" s="909"/>
      <c r="B153" s="769" t="s">
        <v>31</v>
      </c>
      <c r="C153" s="769"/>
      <c r="D153" s="161">
        <f>SUM(D151:D152)</f>
        <v>0</v>
      </c>
      <c r="E153" s="161">
        <f>SUM(E151:E152)</f>
        <v>0</v>
      </c>
      <c r="F153" s="161">
        <f t="shared" ref="F153:M153" si="53">SUM(F151:F152)</f>
        <v>0</v>
      </c>
      <c r="G153" s="161">
        <f t="shared" si="53"/>
        <v>0</v>
      </c>
      <c r="H153" s="161">
        <f t="shared" si="53"/>
        <v>0</v>
      </c>
      <c r="I153" s="161">
        <f t="shared" si="53"/>
        <v>0</v>
      </c>
      <c r="J153" s="161">
        <f t="shared" si="53"/>
        <v>0</v>
      </c>
      <c r="K153" s="161">
        <f t="shared" si="53"/>
        <v>0</v>
      </c>
      <c r="L153" s="161">
        <f t="shared" si="53"/>
        <v>0</v>
      </c>
      <c r="M153" s="161">
        <f t="shared" si="53"/>
        <v>0</v>
      </c>
      <c r="N153" s="161">
        <f>SUM(N151:N152)</f>
        <v>0</v>
      </c>
      <c r="O153" s="161">
        <f t="shared" si="51"/>
        <v>0</v>
      </c>
      <c r="P153" s="240">
        <f>SUM(D153-E153-G153-H153-I153-J153-K153-L153-M153)-F153</f>
        <v>0</v>
      </c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</row>
    <row r="154" spans="1:30" s="158" customFormat="1" ht="15.75">
      <c r="A154" s="910"/>
      <c r="B154" s="902" t="s">
        <v>39</v>
      </c>
      <c r="C154" s="902"/>
      <c r="D154" s="169">
        <f>SUM(D153,D150)</f>
        <v>6839195</v>
      </c>
      <c r="E154" s="169">
        <f>SUM(E153,E150)</f>
        <v>552260</v>
      </c>
      <c r="F154" s="169">
        <f t="shared" ref="F154:O154" si="54">SUM(F153,F150)</f>
        <v>0</v>
      </c>
      <c r="G154" s="169">
        <f t="shared" si="54"/>
        <v>267146</v>
      </c>
      <c r="H154" s="169">
        <f t="shared" si="54"/>
        <v>6060473</v>
      </c>
      <c r="I154" s="169">
        <f t="shared" si="54"/>
        <v>0</v>
      </c>
      <c r="J154" s="169">
        <f t="shared" si="54"/>
        <v>0</v>
      </c>
      <c r="K154" s="169">
        <f t="shared" si="54"/>
        <v>0</v>
      </c>
      <c r="L154" s="169">
        <f t="shared" si="54"/>
        <v>0</v>
      </c>
      <c r="M154" s="169">
        <f t="shared" si="54"/>
        <v>153112</v>
      </c>
      <c r="N154" s="169">
        <f>SUM(N153,N150)</f>
        <v>0</v>
      </c>
      <c r="O154" s="169">
        <f t="shared" si="54"/>
        <v>7032991</v>
      </c>
      <c r="P154" s="169">
        <f>SUM(D154-E154-G154-H154-I154-J154-K154-L154-M154)-F154</f>
        <v>-193796</v>
      </c>
      <c r="Q154" s="159"/>
      <c r="R154" s="159"/>
      <c r="S154" s="159"/>
      <c r="T154" s="159"/>
      <c r="U154" s="159"/>
      <c r="V154" s="159"/>
      <c r="W154" s="159"/>
      <c r="X154" s="159"/>
      <c r="Y154" s="159"/>
      <c r="Z154" s="159"/>
      <c r="AA154" s="159"/>
      <c r="AB154" s="159"/>
      <c r="AC154" s="159"/>
      <c r="AD154" s="159"/>
    </row>
    <row r="155" spans="1:30" s="46" customFormat="1">
      <c r="A155" s="925"/>
      <c r="B155" s="925"/>
      <c r="C155" s="925"/>
      <c r="D155" s="925"/>
      <c r="E155" s="925"/>
      <c r="F155" s="925"/>
      <c r="G155" s="925"/>
      <c r="H155" s="925"/>
      <c r="I155" s="925"/>
      <c r="J155" s="925"/>
      <c r="K155" s="925"/>
      <c r="L155" s="925"/>
      <c r="M155" s="925"/>
      <c r="N155" s="925"/>
      <c r="O155" s="925"/>
      <c r="P155" s="925"/>
    </row>
    <row r="156" spans="1:30" s="46" customFormat="1">
      <c r="A156" s="928" t="s">
        <v>59</v>
      </c>
      <c r="B156" s="506">
        <v>107052</v>
      </c>
      <c r="C156" s="507" t="s">
        <v>518</v>
      </c>
      <c r="D156" s="410">
        <f>4314671+290447</f>
        <v>4605118</v>
      </c>
      <c r="E156" s="410">
        <v>407942</v>
      </c>
      <c r="F156" s="410"/>
      <c r="G156" s="410"/>
      <c r="H156" s="410"/>
      <c r="I156" s="410"/>
      <c r="J156" s="410"/>
      <c r="K156" s="410"/>
      <c r="L156" s="410"/>
      <c r="M156" s="410"/>
      <c r="N156" s="410"/>
      <c r="O156" s="5">
        <f t="shared" ref="O156:O163" si="55">SUM(E156:N156)</f>
        <v>407942</v>
      </c>
      <c r="P156" s="410">
        <f>D156-E156-F156-G156-H156-I156-J156-K156-L156-M156-N156</f>
        <v>4197176</v>
      </c>
    </row>
    <row r="157" spans="1:30" s="46" customFormat="1">
      <c r="A157" s="929"/>
      <c r="B157" s="506">
        <v>107053</v>
      </c>
      <c r="C157" s="507" t="s">
        <v>519</v>
      </c>
      <c r="D157" s="410"/>
      <c r="E157" s="410"/>
      <c r="F157" s="410"/>
      <c r="G157" s="410"/>
      <c r="H157" s="410"/>
      <c r="I157" s="410"/>
      <c r="J157" s="410"/>
      <c r="K157" s="410"/>
      <c r="L157" s="410"/>
      <c r="M157" s="410"/>
      <c r="N157" s="410"/>
      <c r="O157" s="5">
        <f t="shared" si="55"/>
        <v>0</v>
      </c>
      <c r="P157" s="410">
        <f>D157-E157-F157-G157-H157-I157-J157-K157-L157-M157-N157</f>
        <v>0</v>
      </c>
    </row>
    <row r="158" spans="1:30" s="46" customFormat="1">
      <c r="A158" s="929"/>
      <c r="B158" s="508" t="s">
        <v>510</v>
      </c>
      <c r="C158" s="507" t="s">
        <v>533</v>
      </c>
      <c r="D158" s="410">
        <v>890076</v>
      </c>
      <c r="E158" s="410"/>
      <c r="F158" s="410"/>
      <c r="G158" s="410"/>
      <c r="H158" s="410"/>
      <c r="I158" s="410"/>
      <c r="J158" s="410"/>
      <c r="K158" s="410"/>
      <c r="L158" s="410"/>
      <c r="M158" s="410"/>
      <c r="N158" s="410"/>
      <c r="O158" s="5">
        <f t="shared" si="55"/>
        <v>0</v>
      </c>
      <c r="P158" s="410">
        <f>D158-E158-F158-G158-H158-I158-J158-K158-L158-M158-N158</f>
        <v>890076</v>
      </c>
    </row>
    <row r="159" spans="1:30" s="46" customFormat="1">
      <c r="A159" s="929"/>
      <c r="B159" s="508" t="s">
        <v>508</v>
      </c>
      <c r="C159" s="507" t="s">
        <v>516</v>
      </c>
      <c r="D159" s="410"/>
      <c r="E159" s="410"/>
      <c r="F159" s="410"/>
      <c r="G159" s="410">
        <v>882348</v>
      </c>
      <c r="H159" s="410">
        <v>3384397</v>
      </c>
      <c r="I159" s="410"/>
      <c r="J159" s="410"/>
      <c r="K159" s="410"/>
      <c r="L159" s="410"/>
      <c r="M159" s="410">
        <v>820507</v>
      </c>
      <c r="N159" s="410"/>
      <c r="O159" s="5">
        <f t="shared" si="55"/>
        <v>5087252</v>
      </c>
      <c r="P159" s="410">
        <f>D159-E159-F159-G159-H159-I159-J159-K159-L159-M159-N159</f>
        <v>-5087252</v>
      </c>
    </row>
    <row r="160" spans="1:30" s="46" customFormat="1">
      <c r="A160" s="929"/>
      <c r="B160" s="916" t="s">
        <v>30</v>
      </c>
      <c r="C160" s="917"/>
      <c r="D160" s="160">
        <f>SUM(D156:D159)</f>
        <v>5495194</v>
      </c>
      <c r="E160" s="160">
        <f>SUM(E156:E159)</f>
        <v>407942</v>
      </c>
      <c r="F160" s="160">
        <f t="shared" ref="F160:M160" si="56">SUM(F156:F159)</f>
        <v>0</v>
      </c>
      <c r="G160" s="160">
        <f t="shared" si="56"/>
        <v>882348</v>
      </c>
      <c r="H160" s="160">
        <f t="shared" si="56"/>
        <v>3384397</v>
      </c>
      <c r="I160" s="160">
        <f t="shared" si="56"/>
        <v>0</v>
      </c>
      <c r="J160" s="160">
        <f t="shared" si="56"/>
        <v>0</v>
      </c>
      <c r="K160" s="160">
        <f t="shared" si="56"/>
        <v>0</v>
      </c>
      <c r="L160" s="160">
        <f t="shared" si="56"/>
        <v>0</v>
      </c>
      <c r="M160" s="160">
        <f t="shared" si="56"/>
        <v>820507</v>
      </c>
      <c r="N160" s="160">
        <f>SUM(N156:N159)</f>
        <v>0</v>
      </c>
      <c r="O160" s="160">
        <f t="shared" si="55"/>
        <v>5495194</v>
      </c>
      <c r="P160" s="239">
        <f>SUM(D160-E160-G160-H160-I160-J160-K160-L160-M160)-F160</f>
        <v>0</v>
      </c>
    </row>
    <row r="161" spans="1:30">
      <c r="A161" s="929"/>
      <c r="B161" s="506">
        <v>104042</v>
      </c>
      <c r="C161" s="507" t="s">
        <v>522</v>
      </c>
      <c r="D161" s="411"/>
      <c r="E161" s="411"/>
      <c r="F161" s="411"/>
      <c r="G161" s="411"/>
      <c r="H161" s="411"/>
      <c r="I161" s="411"/>
      <c r="J161" s="411"/>
      <c r="K161" s="411"/>
      <c r="L161" s="411"/>
      <c r="M161" s="411"/>
      <c r="N161" s="410"/>
      <c r="O161" s="5">
        <f t="shared" si="55"/>
        <v>0</v>
      </c>
      <c r="P161" s="410">
        <f>SUM(D161-E161-G161-H161-I161-J161-K161-L161-M161)-F161</f>
        <v>0</v>
      </c>
    </row>
    <row r="162" spans="1:30">
      <c r="A162" s="929"/>
      <c r="B162" s="508" t="s">
        <v>508</v>
      </c>
      <c r="C162" s="507" t="s">
        <v>516</v>
      </c>
      <c r="D162" s="410"/>
      <c r="E162" s="410"/>
      <c r="F162" s="410"/>
      <c r="G162" s="410"/>
      <c r="H162" s="410"/>
      <c r="I162" s="410"/>
      <c r="J162" s="410"/>
      <c r="K162" s="410"/>
      <c r="L162" s="410"/>
      <c r="M162" s="410"/>
      <c r="N162" s="410"/>
      <c r="O162" s="5">
        <f t="shared" si="55"/>
        <v>0</v>
      </c>
      <c r="P162" s="410">
        <f>SUM(D162-E162-G162-H162-I162-J162-K162-L162-M162)-F162</f>
        <v>0</v>
      </c>
    </row>
    <row r="163" spans="1:30" s="20" customFormat="1">
      <c r="A163" s="929"/>
      <c r="B163" s="918" t="s">
        <v>31</v>
      </c>
      <c r="C163" s="919"/>
      <c r="D163" s="161">
        <f>SUM(D161:D162)</f>
        <v>0</v>
      </c>
      <c r="E163" s="161">
        <f>SUM(E161:E162)</f>
        <v>0</v>
      </c>
      <c r="F163" s="161">
        <f t="shared" ref="F163:M163" si="57">SUM(F161:F162)</f>
        <v>0</v>
      </c>
      <c r="G163" s="161">
        <f t="shared" si="57"/>
        <v>0</v>
      </c>
      <c r="H163" s="161">
        <f t="shared" si="57"/>
        <v>0</v>
      </c>
      <c r="I163" s="161">
        <f t="shared" si="57"/>
        <v>0</v>
      </c>
      <c r="J163" s="161">
        <f t="shared" si="57"/>
        <v>0</v>
      </c>
      <c r="K163" s="161">
        <f t="shared" si="57"/>
        <v>0</v>
      </c>
      <c r="L163" s="161">
        <f t="shared" si="57"/>
        <v>0</v>
      </c>
      <c r="M163" s="161">
        <f t="shared" si="57"/>
        <v>0</v>
      </c>
      <c r="N163" s="161">
        <f>SUM(N161:N162)</f>
        <v>0</v>
      </c>
      <c r="O163" s="161">
        <f t="shared" si="55"/>
        <v>0</v>
      </c>
      <c r="P163" s="240">
        <f>SUM(D163-E163-G163-H163-I163-J163-K163-L163-M163)-F163</f>
        <v>0</v>
      </c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</row>
    <row r="164" spans="1:30" s="158" customFormat="1" ht="15.75">
      <c r="A164" s="930"/>
      <c r="B164" s="920" t="s">
        <v>40</v>
      </c>
      <c r="C164" s="921"/>
      <c r="D164" s="169">
        <f>SUM(D163)</f>
        <v>0</v>
      </c>
      <c r="E164" s="169">
        <f>SUM(E163)</f>
        <v>0</v>
      </c>
      <c r="F164" s="169">
        <f t="shared" ref="F164:O164" si="58">SUM(F163)</f>
        <v>0</v>
      </c>
      <c r="G164" s="169">
        <f t="shared" si="58"/>
        <v>0</v>
      </c>
      <c r="H164" s="169">
        <f t="shared" si="58"/>
        <v>0</v>
      </c>
      <c r="I164" s="169">
        <f t="shared" si="58"/>
        <v>0</v>
      </c>
      <c r="J164" s="169">
        <f t="shared" si="58"/>
        <v>0</v>
      </c>
      <c r="K164" s="169">
        <f t="shared" si="58"/>
        <v>0</v>
      </c>
      <c r="L164" s="169">
        <f t="shared" si="58"/>
        <v>0</v>
      </c>
      <c r="M164" s="169">
        <f t="shared" si="58"/>
        <v>0</v>
      </c>
      <c r="N164" s="169">
        <f>SUM(N163)</f>
        <v>0</v>
      </c>
      <c r="O164" s="169">
        <f t="shared" si="58"/>
        <v>0</v>
      </c>
      <c r="P164" s="169">
        <f>SUM(D164-E164-G164-H164-I164-J164-K164-L164-M164)-F164</f>
        <v>0</v>
      </c>
      <c r="Q164" s="159"/>
      <c r="R164" s="159"/>
      <c r="S164" s="159"/>
      <c r="T164" s="159"/>
      <c r="U164" s="159"/>
      <c r="V164" s="159"/>
      <c r="W164" s="159"/>
      <c r="X164" s="159"/>
      <c r="Y164" s="159"/>
      <c r="Z164" s="159"/>
      <c r="AA164" s="159"/>
      <c r="AB164" s="159"/>
      <c r="AC164" s="159"/>
      <c r="AD164" s="159"/>
    </row>
    <row r="165" spans="1:30" s="46" customFormat="1">
      <c r="A165" s="922"/>
      <c r="B165" s="922"/>
      <c r="C165" s="922"/>
      <c r="D165" s="922"/>
      <c r="E165" s="922"/>
      <c r="F165" s="922"/>
      <c r="G165" s="922"/>
      <c r="H165" s="922"/>
      <c r="I165" s="922"/>
      <c r="J165" s="922"/>
      <c r="K165" s="922"/>
      <c r="L165" s="922"/>
      <c r="M165" s="922"/>
      <c r="N165" s="922"/>
      <c r="O165" s="922"/>
      <c r="P165" s="922"/>
    </row>
    <row r="166" spans="1:30">
      <c r="A166" s="908" t="s">
        <v>72</v>
      </c>
      <c r="B166" s="506">
        <v>107052</v>
      </c>
      <c r="C166" s="507" t="s">
        <v>518</v>
      </c>
      <c r="D166" s="410">
        <f>227764+2587087</f>
        <v>2814851</v>
      </c>
      <c r="E166" s="410">
        <v>295805</v>
      </c>
      <c r="F166" s="410"/>
      <c r="G166" s="410"/>
      <c r="H166" s="410"/>
      <c r="I166" s="410"/>
      <c r="J166" s="410"/>
      <c r="K166" s="410"/>
      <c r="L166" s="410"/>
      <c r="M166" s="410"/>
      <c r="N166" s="410"/>
      <c r="O166" s="5">
        <f t="shared" ref="O166:O172" si="59">SUM(E166:N166)</f>
        <v>295805</v>
      </c>
      <c r="P166" s="410">
        <f>D166-E166-F166-G166-H166-I166-J166-K166-L166-M166-N166</f>
        <v>2519046</v>
      </c>
    </row>
    <row r="167" spans="1:30">
      <c r="A167" s="909"/>
      <c r="B167" s="506">
        <v>107053</v>
      </c>
      <c r="C167" s="507" t="s">
        <v>519</v>
      </c>
      <c r="D167" s="410">
        <v>99060</v>
      </c>
      <c r="E167" s="410">
        <v>61125</v>
      </c>
      <c r="F167" s="410"/>
      <c r="G167" s="410"/>
      <c r="H167" s="410"/>
      <c r="I167" s="410"/>
      <c r="J167" s="410"/>
      <c r="K167" s="410"/>
      <c r="L167" s="410"/>
      <c r="M167" s="410"/>
      <c r="N167" s="410"/>
      <c r="O167" s="5">
        <f t="shared" si="59"/>
        <v>61125</v>
      </c>
      <c r="P167" s="410">
        <f>D167-E167-F167-G167-H167-I167-J167-K167-L167-M167-N167</f>
        <v>37935</v>
      </c>
    </row>
    <row r="168" spans="1:30">
      <c r="A168" s="909"/>
      <c r="B168" s="508" t="s">
        <v>508</v>
      </c>
      <c r="C168" s="507" t="s">
        <v>516</v>
      </c>
      <c r="D168" s="410"/>
      <c r="E168" s="410"/>
      <c r="F168" s="410"/>
      <c r="G168" s="410">
        <v>281667</v>
      </c>
      <c r="H168" s="410">
        <v>2275314</v>
      </c>
      <c r="I168" s="410"/>
      <c r="J168" s="410"/>
      <c r="K168" s="410"/>
      <c r="L168" s="410"/>
      <c r="M168" s="410">
        <v>0</v>
      </c>
      <c r="N168" s="410"/>
      <c r="O168" s="5">
        <f t="shared" si="59"/>
        <v>2556981</v>
      </c>
      <c r="P168" s="410">
        <f>D168-E168-F168-G168-H168-I168-J168-K168-L168-M168-N168</f>
        <v>-2556981</v>
      </c>
    </row>
    <row r="169" spans="1:30" s="20" customFormat="1">
      <c r="A169" s="909"/>
      <c r="B169" s="923" t="s">
        <v>30</v>
      </c>
      <c r="C169" s="923"/>
      <c r="D169" s="160">
        <f>SUM(D166:D168)</f>
        <v>2913911</v>
      </c>
      <c r="E169" s="160">
        <f>SUM(E166:E168)</f>
        <v>356930</v>
      </c>
      <c r="F169" s="160">
        <f t="shared" ref="F169:L169" si="60">SUM(F166)</f>
        <v>0</v>
      </c>
      <c r="G169" s="160">
        <f>SUM(G166:G168)</f>
        <v>281667</v>
      </c>
      <c r="H169" s="160">
        <f>SUM(H166:H168)</f>
        <v>2275314</v>
      </c>
      <c r="I169" s="160">
        <f t="shared" si="60"/>
        <v>0</v>
      </c>
      <c r="J169" s="160">
        <f t="shared" si="60"/>
        <v>0</v>
      </c>
      <c r="K169" s="160">
        <f t="shared" si="60"/>
        <v>0</v>
      </c>
      <c r="L169" s="160">
        <f t="shared" si="60"/>
        <v>0</v>
      </c>
      <c r="M169" s="160">
        <f>SUM(M166:M168)</f>
        <v>0</v>
      </c>
      <c r="N169" s="160">
        <f>SUM(N166)</f>
        <v>0</v>
      </c>
      <c r="O169" s="160">
        <f t="shared" si="59"/>
        <v>2913911</v>
      </c>
      <c r="P169" s="239">
        <f>SUM(P166:P168)</f>
        <v>0</v>
      </c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</row>
    <row r="170" spans="1:30" s="24" customFormat="1">
      <c r="A170" s="909"/>
      <c r="B170" s="506">
        <v>104042</v>
      </c>
      <c r="C170" s="507" t="s">
        <v>522</v>
      </c>
      <c r="D170" s="410"/>
      <c r="E170" s="410"/>
      <c r="F170" s="410"/>
      <c r="G170" s="410"/>
      <c r="H170" s="410"/>
      <c r="I170" s="410"/>
      <c r="J170" s="410"/>
      <c r="K170" s="410"/>
      <c r="L170" s="410"/>
      <c r="M170" s="410"/>
      <c r="N170" s="410"/>
      <c r="O170" s="5">
        <f t="shared" si="59"/>
        <v>0</v>
      </c>
      <c r="P170" s="410">
        <f>SUM(D170-E170-G170-H170-I170-J170-K170-L170-M170)-F170</f>
        <v>0</v>
      </c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108"/>
      <c r="AB170" s="108"/>
      <c r="AC170" s="108"/>
      <c r="AD170" s="108"/>
    </row>
    <row r="171" spans="1:30">
      <c r="A171" s="909"/>
      <c r="B171" s="508" t="s">
        <v>508</v>
      </c>
      <c r="C171" s="507" t="s">
        <v>516</v>
      </c>
      <c r="D171" s="410"/>
      <c r="E171" s="410"/>
      <c r="F171" s="410"/>
      <c r="G171" s="410"/>
      <c r="H171" s="410"/>
      <c r="I171" s="410"/>
      <c r="J171" s="410"/>
      <c r="K171" s="410"/>
      <c r="L171" s="410"/>
      <c r="M171" s="410"/>
      <c r="N171" s="410"/>
      <c r="O171" s="5">
        <f t="shared" si="59"/>
        <v>0</v>
      </c>
      <c r="P171" s="410">
        <f>SUM(D171-E171-G171-H171-I171-J171-K171-L171-M171)-F171</f>
        <v>0</v>
      </c>
    </row>
    <row r="172" spans="1:30" s="20" customFormat="1">
      <c r="A172" s="909"/>
      <c r="B172" s="769" t="s">
        <v>31</v>
      </c>
      <c r="C172" s="769"/>
      <c r="D172" s="161">
        <f>SUM(D170:D171)</f>
        <v>0</v>
      </c>
      <c r="E172" s="161">
        <f>SUM(E170:E171)</f>
        <v>0</v>
      </c>
      <c r="F172" s="161">
        <f t="shared" ref="F172:M172" si="61">SUM(F170:F171)</f>
        <v>0</v>
      </c>
      <c r="G172" s="161">
        <f t="shared" si="61"/>
        <v>0</v>
      </c>
      <c r="H172" s="161">
        <f t="shared" si="61"/>
        <v>0</v>
      </c>
      <c r="I172" s="161">
        <f t="shared" si="61"/>
        <v>0</v>
      </c>
      <c r="J172" s="161">
        <f t="shared" si="61"/>
        <v>0</v>
      </c>
      <c r="K172" s="161">
        <f t="shared" si="61"/>
        <v>0</v>
      </c>
      <c r="L172" s="161">
        <f t="shared" si="61"/>
        <v>0</v>
      </c>
      <c r="M172" s="161">
        <f t="shared" si="61"/>
        <v>0</v>
      </c>
      <c r="N172" s="161">
        <f>SUM(N170:N171)</f>
        <v>0</v>
      </c>
      <c r="O172" s="161">
        <f t="shared" si="59"/>
        <v>0</v>
      </c>
      <c r="P172" s="240">
        <f>SUM(D172-E172-G172-H172-I172-J172-K172-L172-M172)-F172</f>
        <v>0</v>
      </c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</row>
    <row r="173" spans="1:30" s="158" customFormat="1" ht="15.75">
      <c r="A173" s="910"/>
      <c r="B173" s="902" t="s">
        <v>41</v>
      </c>
      <c r="C173" s="902"/>
      <c r="D173" s="169">
        <f>SUM(D172,D169)</f>
        <v>2913911</v>
      </c>
      <c r="E173" s="169">
        <f>SUM(E172,E169)</f>
        <v>356930</v>
      </c>
      <c r="F173" s="169">
        <f t="shared" ref="F173:O173" si="62">SUM(F172,F169)</f>
        <v>0</v>
      </c>
      <c r="G173" s="169">
        <f t="shared" si="62"/>
        <v>281667</v>
      </c>
      <c r="H173" s="169">
        <f t="shared" si="62"/>
        <v>2275314</v>
      </c>
      <c r="I173" s="169">
        <f t="shared" si="62"/>
        <v>0</v>
      </c>
      <c r="J173" s="169">
        <f t="shared" si="62"/>
        <v>0</v>
      </c>
      <c r="K173" s="169">
        <f t="shared" si="62"/>
        <v>0</v>
      </c>
      <c r="L173" s="169">
        <f t="shared" si="62"/>
        <v>0</v>
      </c>
      <c r="M173" s="169">
        <f t="shared" si="62"/>
        <v>0</v>
      </c>
      <c r="N173" s="169">
        <f>SUM(N172,N169)</f>
        <v>0</v>
      </c>
      <c r="O173" s="169">
        <f t="shared" si="62"/>
        <v>2913911</v>
      </c>
      <c r="P173" s="169">
        <f>SUM(D173-E173-G173-H173-I173-J173-K173-L173-M173)-F173</f>
        <v>0</v>
      </c>
      <c r="Q173" s="159"/>
      <c r="R173" s="159"/>
      <c r="S173" s="159"/>
      <c r="T173" s="159"/>
      <c r="U173" s="159"/>
      <c r="V173" s="159"/>
      <c r="W173" s="159"/>
      <c r="X173" s="159"/>
      <c r="Y173" s="159"/>
      <c r="Z173" s="159"/>
      <c r="AA173" s="159"/>
      <c r="AB173" s="159"/>
      <c r="AC173" s="159"/>
      <c r="AD173" s="159"/>
    </row>
    <row r="174" spans="1:30" s="46" customFormat="1">
      <c r="A174" s="922"/>
      <c r="B174" s="922"/>
      <c r="C174" s="922"/>
      <c r="D174" s="922"/>
      <c r="E174" s="922"/>
      <c r="F174" s="922"/>
      <c r="G174" s="922"/>
      <c r="H174" s="922"/>
      <c r="I174" s="922"/>
      <c r="J174" s="922"/>
      <c r="K174" s="922"/>
      <c r="L174" s="922"/>
      <c r="M174" s="922"/>
      <c r="N174" s="922"/>
      <c r="O174" s="922"/>
      <c r="P174" s="922"/>
    </row>
    <row r="175" spans="1:30">
      <c r="A175" s="908" t="s">
        <v>61</v>
      </c>
      <c r="B175" s="506">
        <v>107052</v>
      </c>
      <c r="C175" s="507" t="s">
        <v>518</v>
      </c>
      <c r="D175" s="410">
        <f>3615455+730696</f>
        <v>4346151</v>
      </c>
      <c r="E175" s="410">
        <v>630590</v>
      </c>
      <c r="F175" s="410"/>
      <c r="G175" s="410"/>
      <c r="H175" s="410"/>
      <c r="I175" s="410"/>
      <c r="J175" s="410"/>
      <c r="K175" s="410"/>
      <c r="L175" s="410"/>
      <c r="M175" s="410"/>
      <c r="N175" s="410"/>
      <c r="O175" s="5">
        <f t="shared" ref="O175:O181" si="63">SUM(E175:N175)</f>
        <v>630590</v>
      </c>
      <c r="P175" s="410">
        <f>D175-E175-F175-G175-H175-I175-J175-K175-L175-M175-N175</f>
        <v>3715561</v>
      </c>
    </row>
    <row r="176" spans="1:30">
      <c r="A176" s="909"/>
      <c r="B176" s="508" t="s">
        <v>510</v>
      </c>
      <c r="C176" s="507" t="s">
        <v>533</v>
      </c>
      <c r="D176" s="410">
        <v>1058694</v>
      </c>
      <c r="E176" s="410"/>
      <c r="F176" s="410"/>
      <c r="G176" s="410"/>
      <c r="H176" s="410"/>
      <c r="I176" s="410"/>
      <c r="J176" s="410"/>
      <c r="K176" s="410"/>
      <c r="L176" s="410"/>
      <c r="M176" s="410"/>
      <c r="N176" s="410"/>
      <c r="O176" s="5">
        <f t="shared" si="63"/>
        <v>0</v>
      </c>
      <c r="P176" s="410">
        <f>D176-E176-F176-G176-H176-I176-J176-K176-L176-M176-N176</f>
        <v>1058694</v>
      </c>
    </row>
    <row r="177" spans="1:30">
      <c r="A177" s="909"/>
      <c r="B177" s="508" t="s">
        <v>508</v>
      </c>
      <c r="C177" s="507" t="s">
        <v>516</v>
      </c>
      <c r="D177" s="410"/>
      <c r="E177" s="410"/>
      <c r="F177" s="410"/>
      <c r="G177" s="410">
        <v>1184305</v>
      </c>
      <c r="H177" s="410">
        <v>3377202</v>
      </c>
      <c r="I177" s="410"/>
      <c r="J177" s="410"/>
      <c r="K177" s="410"/>
      <c r="L177" s="410"/>
      <c r="M177" s="410">
        <v>267322</v>
      </c>
      <c r="N177" s="410"/>
      <c r="O177" s="5">
        <f t="shared" si="63"/>
        <v>4828829</v>
      </c>
      <c r="P177" s="410">
        <f>D177-E177-F177-G177-H177-I177-J177-K177-L177-M177-N177</f>
        <v>-4828829</v>
      </c>
    </row>
    <row r="178" spans="1:30" s="20" customFormat="1">
      <c r="A178" s="909"/>
      <c r="B178" s="923" t="s">
        <v>30</v>
      </c>
      <c r="C178" s="923"/>
      <c r="D178" s="160">
        <f>SUM(D175:D177)</f>
        <v>5404845</v>
      </c>
      <c r="E178" s="160">
        <f>SUM(E175:E177)</f>
        <v>630590</v>
      </c>
      <c r="F178" s="160">
        <f>SUM(F175)</f>
        <v>0</v>
      </c>
      <c r="G178" s="160">
        <f>SUM(G175:G177)</f>
        <v>1184305</v>
      </c>
      <c r="H178" s="160">
        <f>SUM(H175:H177)</f>
        <v>3377202</v>
      </c>
      <c r="I178" s="160">
        <f>SUM(I175)</f>
        <v>0</v>
      </c>
      <c r="J178" s="160">
        <f>SUM(J175)</f>
        <v>0</v>
      </c>
      <c r="K178" s="160">
        <f>SUM(K175)</f>
        <v>0</v>
      </c>
      <c r="L178" s="160">
        <f>SUM(L175)</f>
        <v>0</v>
      </c>
      <c r="M178" s="160">
        <f>SUM(M175:M177)</f>
        <v>267322</v>
      </c>
      <c r="N178" s="160">
        <f>SUM(N175)</f>
        <v>0</v>
      </c>
      <c r="O178" s="160">
        <f t="shared" si="63"/>
        <v>5459419</v>
      </c>
      <c r="P178" s="239">
        <f>SUM(D178-E178-G178-H178-I178-J178-K178-L178-M178)-F178</f>
        <v>-54574</v>
      </c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</row>
    <row r="179" spans="1:30" s="24" customFormat="1">
      <c r="A179" s="909"/>
      <c r="B179" s="506">
        <v>104042</v>
      </c>
      <c r="C179" s="507" t="s">
        <v>522</v>
      </c>
      <c r="D179" s="410"/>
      <c r="E179" s="410"/>
      <c r="F179" s="410"/>
      <c r="G179" s="410"/>
      <c r="H179" s="410"/>
      <c r="I179" s="410"/>
      <c r="J179" s="410"/>
      <c r="K179" s="410"/>
      <c r="L179" s="410"/>
      <c r="M179" s="410"/>
      <c r="N179" s="410"/>
      <c r="O179" s="5">
        <f t="shared" si="63"/>
        <v>0</v>
      </c>
      <c r="P179" s="410">
        <f>SUM(D179-E179-G179-H179-I179-J179-K179-L179-M179)-F179</f>
        <v>0</v>
      </c>
      <c r="Q179" s="108"/>
      <c r="R179" s="108"/>
      <c r="S179" s="108"/>
      <c r="T179" s="108"/>
      <c r="U179" s="108"/>
      <c r="V179" s="108"/>
      <c r="W179" s="108"/>
      <c r="X179" s="108"/>
      <c r="Y179" s="108"/>
      <c r="Z179" s="108"/>
      <c r="AA179" s="108"/>
      <c r="AB179" s="108"/>
      <c r="AC179" s="108"/>
      <c r="AD179" s="108"/>
    </row>
    <row r="180" spans="1:30">
      <c r="A180" s="909"/>
      <c r="B180" s="508" t="s">
        <v>508</v>
      </c>
      <c r="C180" s="507" t="s">
        <v>516</v>
      </c>
      <c r="D180" s="410"/>
      <c r="E180" s="410"/>
      <c r="F180" s="410"/>
      <c r="G180" s="410"/>
      <c r="H180" s="410"/>
      <c r="I180" s="410"/>
      <c r="J180" s="410"/>
      <c r="K180" s="410"/>
      <c r="L180" s="410"/>
      <c r="M180" s="410"/>
      <c r="N180" s="410"/>
      <c r="O180" s="5">
        <f t="shared" si="63"/>
        <v>0</v>
      </c>
      <c r="P180" s="410">
        <f>SUM(D180-E180-G180-H180-I180-J180-K180-L180-M180)-F180</f>
        <v>0</v>
      </c>
    </row>
    <row r="181" spans="1:30" s="20" customFormat="1">
      <c r="A181" s="909"/>
      <c r="B181" s="769" t="s">
        <v>31</v>
      </c>
      <c r="C181" s="769"/>
      <c r="D181" s="161">
        <f>SUM(D179:D180)</f>
        <v>0</v>
      </c>
      <c r="E181" s="161">
        <f>SUM(E179:E180)</f>
        <v>0</v>
      </c>
      <c r="F181" s="161">
        <f t="shared" ref="F181:M181" si="64">SUM(F179:F180)</f>
        <v>0</v>
      </c>
      <c r="G181" s="161">
        <f t="shared" si="64"/>
        <v>0</v>
      </c>
      <c r="H181" s="161">
        <f t="shared" si="64"/>
        <v>0</v>
      </c>
      <c r="I181" s="161">
        <f t="shared" si="64"/>
        <v>0</v>
      </c>
      <c r="J181" s="161">
        <f t="shared" si="64"/>
        <v>0</v>
      </c>
      <c r="K181" s="161">
        <f t="shared" si="64"/>
        <v>0</v>
      </c>
      <c r="L181" s="161">
        <f t="shared" si="64"/>
        <v>0</v>
      </c>
      <c r="M181" s="161">
        <f t="shared" si="64"/>
        <v>0</v>
      </c>
      <c r="N181" s="161">
        <f>SUM(N179:N180)</f>
        <v>0</v>
      </c>
      <c r="O181" s="161">
        <f t="shared" si="63"/>
        <v>0</v>
      </c>
      <c r="P181" s="240">
        <f>SUM(D181-E181-G181-H181-I181-J181-K181-L181-M181)-F181</f>
        <v>0</v>
      </c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</row>
    <row r="182" spans="1:30" s="158" customFormat="1" ht="15.75">
      <c r="A182" s="910"/>
      <c r="B182" s="902" t="s">
        <v>42</v>
      </c>
      <c r="C182" s="902"/>
      <c r="D182" s="169">
        <f>SUM(D181,D178)</f>
        <v>5404845</v>
      </c>
      <c r="E182" s="169">
        <f>SUM(E181,E178)</f>
        <v>630590</v>
      </c>
      <c r="F182" s="169">
        <f t="shared" ref="F182:O182" si="65">SUM(F181,F178)</f>
        <v>0</v>
      </c>
      <c r="G182" s="169">
        <f t="shared" si="65"/>
        <v>1184305</v>
      </c>
      <c r="H182" s="169">
        <f t="shared" si="65"/>
        <v>3377202</v>
      </c>
      <c r="I182" s="169">
        <f t="shared" si="65"/>
        <v>0</v>
      </c>
      <c r="J182" s="169">
        <f t="shared" si="65"/>
        <v>0</v>
      </c>
      <c r="K182" s="169">
        <f t="shared" si="65"/>
        <v>0</v>
      </c>
      <c r="L182" s="169">
        <f t="shared" si="65"/>
        <v>0</v>
      </c>
      <c r="M182" s="169">
        <f t="shared" si="65"/>
        <v>267322</v>
      </c>
      <c r="N182" s="169">
        <f>SUM(N181,N178)</f>
        <v>0</v>
      </c>
      <c r="O182" s="169">
        <f t="shared" si="65"/>
        <v>5459419</v>
      </c>
      <c r="P182" s="169">
        <f>SUM(D182-E182-G182-H182-I182-J182-K182-L182-M182)-F182</f>
        <v>-54574</v>
      </c>
      <c r="Q182" s="159"/>
      <c r="R182" s="159"/>
      <c r="S182" s="159"/>
      <c r="T182" s="159"/>
      <c r="U182" s="159"/>
      <c r="V182" s="159"/>
      <c r="W182" s="159"/>
      <c r="X182" s="159"/>
      <c r="Y182" s="159"/>
      <c r="Z182" s="159"/>
      <c r="AA182" s="159"/>
      <c r="AB182" s="159"/>
      <c r="AC182" s="159"/>
      <c r="AD182" s="159"/>
    </row>
    <row r="183" spans="1:30" s="46" customFormat="1">
      <c r="A183" s="922"/>
      <c r="B183" s="922"/>
      <c r="C183" s="922"/>
      <c r="D183" s="922"/>
      <c r="E183" s="922"/>
      <c r="F183" s="922"/>
      <c r="G183" s="922"/>
      <c r="H183" s="922"/>
      <c r="I183" s="922"/>
      <c r="J183" s="922"/>
      <c r="K183" s="922"/>
      <c r="L183" s="922"/>
      <c r="M183" s="922"/>
      <c r="N183" s="922"/>
      <c r="O183" s="922"/>
      <c r="P183" s="922"/>
      <c r="Q183" s="59"/>
    </row>
    <row r="184" spans="1:30">
      <c r="A184" s="908" t="s">
        <v>66</v>
      </c>
      <c r="B184" s="506">
        <v>107053</v>
      </c>
      <c r="C184" s="507" t="s">
        <v>519</v>
      </c>
      <c r="D184" s="410"/>
      <c r="E184" s="410"/>
      <c r="F184" s="410"/>
      <c r="G184" s="410"/>
      <c r="H184" s="410"/>
      <c r="I184" s="410"/>
      <c r="J184" s="410"/>
      <c r="K184" s="410"/>
      <c r="L184" s="410"/>
      <c r="M184" s="410"/>
      <c r="N184" s="410"/>
      <c r="O184" s="5">
        <f>SUM(E184:N184)</f>
        <v>0</v>
      </c>
      <c r="P184" s="410">
        <f t="shared" ref="P184:P189" si="66">SUM(D184-E184-G184-H184-I184-J184-K184-L184-M184)-F184</f>
        <v>0</v>
      </c>
    </row>
    <row r="185" spans="1:30" s="20" customFormat="1">
      <c r="A185" s="909"/>
      <c r="B185" s="923" t="s">
        <v>30</v>
      </c>
      <c r="C185" s="923"/>
      <c r="D185" s="160">
        <f>SUM(D184)</f>
        <v>0</v>
      </c>
      <c r="E185" s="160">
        <f>SUM(E184)</f>
        <v>0</v>
      </c>
      <c r="F185" s="160">
        <f t="shared" ref="F185:M185" si="67">SUM(F184)</f>
        <v>0</v>
      </c>
      <c r="G185" s="160">
        <f t="shared" si="67"/>
        <v>0</v>
      </c>
      <c r="H185" s="160">
        <f t="shared" si="67"/>
        <v>0</v>
      </c>
      <c r="I185" s="160">
        <f t="shared" si="67"/>
        <v>0</v>
      </c>
      <c r="J185" s="160">
        <f t="shared" si="67"/>
        <v>0</v>
      </c>
      <c r="K185" s="160">
        <f t="shared" si="67"/>
        <v>0</v>
      </c>
      <c r="L185" s="160">
        <f t="shared" si="67"/>
        <v>0</v>
      </c>
      <c r="M185" s="160">
        <f t="shared" si="67"/>
        <v>0</v>
      </c>
      <c r="N185" s="160">
        <f>SUM(N184)</f>
        <v>0</v>
      </c>
      <c r="O185" s="160">
        <f>SUM(E185:N185)</f>
        <v>0</v>
      </c>
      <c r="P185" s="239">
        <f t="shared" si="66"/>
        <v>0</v>
      </c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</row>
    <row r="186" spans="1:30">
      <c r="A186" s="909"/>
      <c r="B186" s="506">
        <v>104042</v>
      </c>
      <c r="C186" s="507" t="s">
        <v>522</v>
      </c>
      <c r="D186" s="410"/>
      <c r="E186" s="410"/>
      <c r="F186" s="410"/>
      <c r="G186" s="410"/>
      <c r="H186" s="410"/>
      <c r="I186" s="410"/>
      <c r="J186" s="410"/>
      <c r="K186" s="410"/>
      <c r="L186" s="410"/>
      <c r="M186" s="410"/>
      <c r="N186" s="410"/>
      <c r="O186" s="5">
        <f>SUM(E186:N186)</f>
        <v>0</v>
      </c>
      <c r="P186" s="410">
        <f t="shared" si="66"/>
        <v>0</v>
      </c>
    </row>
    <row r="187" spans="1:30">
      <c r="A187" s="909"/>
      <c r="B187" s="508" t="s">
        <v>508</v>
      </c>
      <c r="C187" s="507" t="s">
        <v>516</v>
      </c>
      <c r="D187" s="410"/>
      <c r="E187" s="410"/>
      <c r="F187" s="410"/>
      <c r="G187" s="410"/>
      <c r="H187" s="410"/>
      <c r="I187" s="410"/>
      <c r="J187" s="410"/>
      <c r="K187" s="410"/>
      <c r="L187" s="410"/>
      <c r="M187" s="410"/>
      <c r="N187" s="410"/>
      <c r="O187" s="5">
        <f>SUM(E187:N187)</f>
        <v>0</v>
      </c>
      <c r="P187" s="410">
        <f t="shared" si="66"/>
        <v>0</v>
      </c>
    </row>
    <row r="188" spans="1:30" s="20" customFormat="1">
      <c r="A188" s="909"/>
      <c r="B188" s="769" t="s">
        <v>31</v>
      </c>
      <c r="C188" s="769"/>
      <c r="D188" s="161">
        <f>SUM(D186:D187)</f>
        <v>0</v>
      </c>
      <c r="E188" s="161">
        <f>SUM(E186:E187)</f>
        <v>0</v>
      </c>
      <c r="F188" s="161">
        <f t="shared" ref="F188:M188" si="68">SUM(F186:F187)</f>
        <v>0</v>
      </c>
      <c r="G188" s="161">
        <f t="shared" si="68"/>
        <v>0</v>
      </c>
      <c r="H188" s="161">
        <f t="shared" si="68"/>
        <v>0</v>
      </c>
      <c r="I188" s="161">
        <f t="shared" si="68"/>
        <v>0</v>
      </c>
      <c r="J188" s="161">
        <f t="shared" si="68"/>
        <v>0</v>
      </c>
      <c r="K188" s="161">
        <f t="shared" si="68"/>
        <v>0</v>
      </c>
      <c r="L188" s="161">
        <f t="shared" si="68"/>
        <v>0</v>
      </c>
      <c r="M188" s="161">
        <f t="shared" si="68"/>
        <v>0</v>
      </c>
      <c r="N188" s="161">
        <f>SUM(N186:N187)</f>
        <v>0</v>
      </c>
      <c r="O188" s="161">
        <f>SUM(E188:N188)</f>
        <v>0</v>
      </c>
      <c r="P188" s="240">
        <f t="shared" si="66"/>
        <v>0</v>
      </c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</row>
    <row r="189" spans="1:30" s="158" customFormat="1" ht="15.75">
      <c r="A189" s="910"/>
      <c r="B189" s="902" t="s">
        <v>43</v>
      </c>
      <c r="C189" s="902"/>
      <c r="D189" s="169">
        <f>SUM(D188,D185)</f>
        <v>0</v>
      </c>
      <c r="E189" s="169">
        <f>SUM(E188,E185)</f>
        <v>0</v>
      </c>
      <c r="F189" s="169">
        <f t="shared" ref="F189:O189" si="69">SUM(F188,F185)</f>
        <v>0</v>
      </c>
      <c r="G189" s="169">
        <f t="shared" si="69"/>
        <v>0</v>
      </c>
      <c r="H189" s="169">
        <f t="shared" si="69"/>
        <v>0</v>
      </c>
      <c r="I189" s="169">
        <f t="shared" si="69"/>
        <v>0</v>
      </c>
      <c r="J189" s="169">
        <f t="shared" si="69"/>
        <v>0</v>
      </c>
      <c r="K189" s="169">
        <f t="shared" si="69"/>
        <v>0</v>
      </c>
      <c r="L189" s="169">
        <f t="shared" si="69"/>
        <v>0</v>
      </c>
      <c r="M189" s="169">
        <f t="shared" si="69"/>
        <v>0</v>
      </c>
      <c r="N189" s="169">
        <f>SUM(N188,N185)</f>
        <v>0</v>
      </c>
      <c r="O189" s="169">
        <f t="shared" si="69"/>
        <v>0</v>
      </c>
      <c r="P189" s="169">
        <f t="shared" si="66"/>
        <v>0</v>
      </c>
      <c r="Q189" s="159"/>
      <c r="R189" s="159"/>
      <c r="S189" s="159"/>
      <c r="T189" s="159"/>
      <c r="U189" s="159"/>
      <c r="V189" s="159"/>
      <c r="W189" s="159"/>
      <c r="X189" s="159"/>
      <c r="Y189" s="159"/>
      <c r="Z189" s="159"/>
      <c r="AA189" s="159"/>
      <c r="AB189" s="159"/>
      <c r="AC189" s="159"/>
      <c r="AD189" s="159"/>
    </row>
    <row r="190" spans="1:30" s="46" customFormat="1">
      <c r="A190" s="912"/>
      <c r="B190" s="912"/>
      <c r="C190" s="912"/>
      <c r="D190" s="912"/>
      <c r="E190" s="912"/>
      <c r="F190" s="912"/>
      <c r="G190" s="912"/>
      <c r="H190" s="912"/>
      <c r="I190" s="912"/>
      <c r="J190" s="912"/>
      <c r="K190" s="912"/>
      <c r="L190" s="912"/>
      <c r="M190" s="912"/>
      <c r="N190" s="912"/>
      <c r="O190" s="912"/>
      <c r="P190" s="913"/>
    </row>
    <row r="191" spans="1:30">
      <c r="A191" s="908" t="s">
        <v>56</v>
      </c>
      <c r="B191" s="506">
        <v>107052</v>
      </c>
      <c r="C191" s="507" t="s">
        <v>518</v>
      </c>
      <c r="D191" s="410">
        <f>7088396+551155</f>
        <v>7639551</v>
      </c>
      <c r="E191" s="410">
        <v>1008690</v>
      </c>
      <c r="F191" s="410"/>
      <c r="G191" s="410"/>
      <c r="H191" s="410"/>
      <c r="I191" s="410"/>
      <c r="J191" s="410"/>
      <c r="K191" s="410"/>
      <c r="L191" s="410"/>
      <c r="M191" s="410"/>
      <c r="N191" s="410"/>
      <c r="O191" s="5">
        <f t="shared" ref="O191:O198" si="70">SUM(E191:N191)</f>
        <v>1008690</v>
      </c>
      <c r="P191" s="410">
        <f>D191-E191-F191-G191-H191-I191-J191-K191-L191-M191-N191</f>
        <v>6630861</v>
      </c>
    </row>
    <row r="192" spans="1:30">
      <c r="A192" s="909"/>
      <c r="B192" s="506">
        <v>107053</v>
      </c>
      <c r="C192" s="507" t="s">
        <v>519</v>
      </c>
      <c r="D192" s="410"/>
      <c r="E192" s="410"/>
      <c r="F192" s="410"/>
      <c r="G192" s="410"/>
      <c r="H192" s="410"/>
      <c r="I192" s="410"/>
      <c r="J192" s="410"/>
      <c r="K192" s="410"/>
      <c r="L192" s="410"/>
      <c r="M192" s="410"/>
      <c r="N192" s="410"/>
      <c r="O192" s="5">
        <f t="shared" si="70"/>
        <v>0</v>
      </c>
      <c r="P192" s="410">
        <f>D192-E192-F192-G192-H192-I192-J192-K192-L192-M192-N192</f>
        <v>0</v>
      </c>
    </row>
    <row r="193" spans="1:30">
      <c r="A193" s="909"/>
      <c r="B193" s="506">
        <v>102031</v>
      </c>
      <c r="C193" s="507" t="s">
        <v>520</v>
      </c>
      <c r="D193" s="410">
        <f>7905026+520125</f>
        <v>8425151</v>
      </c>
      <c r="E193" s="410">
        <v>496385</v>
      </c>
      <c r="F193" s="410"/>
      <c r="G193" s="410"/>
      <c r="H193" s="410"/>
      <c r="I193" s="410"/>
      <c r="J193" s="410"/>
      <c r="K193" s="410"/>
      <c r="L193" s="410"/>
      <c r="M193" s="410"/>
      <c r="N193" s="410"/>
      <c r="O193" s="5">
        <f t="shared" si="70"/>
        <v>496385</v>
      </c>
      <c r="P193" s="410">
        <f>D193-E193-F193-G193-H193-I193-J193-K193-L193-M193-N193</f>
        <v>7928766</v>
      </c>
    </row>
    <row r="194" spans="1:30">
      <c r="A194" s="909"/>
      <c r="B194" s="508" t="s">
        <v>510</v>
      </c>
      <c r="C194" s="507" t="s">
        <v>533</v>
      </c>
      <c r="D194" s="410">
        <v>1087838</v>
      </c>
      <c r="E194" s="410"/>
      <c r="F194" s="410"/>
      <c r="G194" s="410"/>
      <c r="H194" s="410"/>
      <c r="I194" s="410"/>
      <c r="J194" s="410"/>
      <c r="K194" s="410"/>
      <c r="L194" s="410"/>
      <c r="M194" s="410"/>
      <c r="N194" s="410"/>
      <c r="O194" s="5">
        <f t="shared" si="70"/>
        <v>0</v>
      </c>
      <c r="P194" s="410">
        <f>D194-E194-F194-G194-H194-I194-J194-K194-L194-M194-N194</f>
        <v>1087838</v>
      </c>
    </row>
    <row r="195" spans="1:30">
      <c r="A195" s="909"/>
      <c r="B195" s="508" t="s">
        <v>508</v>
      </c>
      <c r="C195" s="507" t="s">
        <v>516</v>
      </c>
      <c r="D195" s="410"/>
      <c r="E195" s="410"/>
      <c r="F195" s="410"/>
      <c r="G195" s="410">
        <v>1087838</v>
      </c>
      <c r="H195" s="410">
        <v>13017230</v>
      </c>
      <c r="I195" s="410"/>
      <c r="J195" s="410"/>
      <c r="K195" s="410"/>
      <c r="L195" s="410"/>
      <c r="M195" s="410">
        <v>1542397</v>
      </c>
      <c r="N195" s="410"/>
      <c r="O195" s="5">
        <f t="shared" si="70"/>
        <v>15647465</v>
      </c>
      <c r="P195" s="410">
        <f>D195-E195-F195-G195-H195-I195-J195-K195-L195-M195-N195</f>
        <v>-15647465</v>
      </c>
    </row>
    <row r="196" spans="1:30" s="20" customFormat="1">
      <c r="A196" s="909"/>
      <c r="B196" s="916" t="s">
        <v>30</v>
      </c>
      <c r="C196" s="917"/>
      <c r="D196" s="160">
        <f>SUM(D191:D195)</f>
        <v>17152540</v>
      </c>
      <c r="E196" s="160">
        <f>SUM(E191:E195)</f>
        <v>1505075</v>
      </c>
      <c r="F196" s="160">
        <f t="shared" ref="F196:M196" si="71">SUM(F191:F195)</f>
        <v>0</v>
      </c>
      <c r="G196" s="160">
        <f t="shared" si="71"/>
        <v>1087838</v>
      </c>
      <c r="H196" s="160">
        <f t="shared" si="71"/>
        <v>13017230</v>
      </c>
      <c r="I196" s="160">
        <f t="shared" si="71"/>
        <v>0</v>
      </c>
      <c r="J196" s="160">
        <f t="shared" si="71"/>
        <v>0</v>
      </c>
      <c r="K196" s="160">
        <f t="shared" si="71"/>
        <v>0</v>
      </c>
      <c r="L196" s="160">
        <f t="shared" si="71"/>
        <v>0</v>
      </c>
      <c r="M196" s="160">
        <f t="shared" si="71"/>
        <v>1542397</v>
      </c>
      <c r="N196" s="160">
        <f>SUM(N191:N195)</f>
        <v>0</v>
      </c>
      <c r="O196" s="160">
        <f>SUM(E196:N196)</f>
        <v>17152540</v>
      </c>
      <c r="P196" s="239">
        <f>SUM(D196-E196-G196-H196-I196-J196-K196-L196-M196)-F196</f>
        <v>0</v>
      </c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</row>
    <row r="197" spans="1:30">
      <c r="A197" s="909"/>
      <c r="B197" s="506">
        <v>104042</v>
      </c>
      <c r="C197" s="507" t="s">
        <v>522</v>
      </c>
      <c r="D197" s="410">
        <f>8523488+2056097</f>
        <v>10579585</v>
      </c>
      <c r="E197" s="410"/>
      <c r="F197" s="410"/>
      <c r="G197" s="410"/>
      <c r="H197" s="410"/>
      <c r="I197" s="410"/>
      <c r="J197" s="410"/>
      <c r="K197" s="410"/>
      <c r="L197" s="410"/>
      <c r="M197" s="410"/>
      <c r="N197" s="410"/>
      <c r="O197" s="5">
        <f t="shared" si="70"/>
        <v>0</v>
      </c>
      <c r="P197" s="410">
        <f>SUM(D197-E197-G197-H197-I197-J197-K197-L197-M197)-F197</f>
        <v>10579585</v>
      </c>
    </row>
    <row r="198" spans="1:30">
      <c r="A198" s="909"/>
      <c r="B198" s="508" t="s">
        <v>508</v>
      </c>
      <c r="C198" s="507" t="s">
        <v>516</v>
      </c>
      <c r="D198" s="410"/>
      <c r="E198" s="410"/>
      <c r="F198" s="410"/>
      <c r="G198" s="410">
        <v>0</v>
      </c>
      <c r="H198" s="410">
        <v>10579585</v>
      </c>
      <c r="I198" s="410"/>
      <c r="J198" s="410"/>
      <c r="K198" s="410"/>
      <c r="L198" s="410"/>
      <c r="M198" s="410">
        <v>0</v>
      </c>
      <c r="N198" s="410"/>
      <c r="O198" s="5">
        <f t="shared" si="70"/>
        <v>10579585</v>
      </c>
      <c r="P198" s="410">
        <f>SUM(D198-E198-G198-H198-I198-J198-K198-L198-M198)-F198</f>
        <v>-10579585</v>
      </c>
    </row>
    <row r="199" spans="1:30" s="20" customFormat="1">
      <c r="A199" s="909"/>
      <c r="B199" s="918" t="s">
        <v>31</v>
      </c>
      <c r="C199" s="919"/>
      <c r="D199" s="161">
        <f>SUM(D197:D198)</f>
        <v>10579585</v>
      </c>
      <c r="E199" s="161">
        <f>SUM(E197:E198)</f>
        <v>0</v>
      </c>
      <c r="F199" s="161">
        <f t="shared" ref="F199:M199" si="72">SUM(F197:F198)</f>
        <v>0</v>
      </c>
      <c r="G199" s="161">
        <f t="shared" si="72"/>
        <v>0</v>
      </c>
      <c r="H199" s="161">
        <f t="shared" si="72"/>
        <v>10579585</v>
      </c>
      <c r="I199" s="161">
        <f t="shared" si="72"/>
        <v>0</v>
      </c>
      <c r="J199" s="161">
        <f t="shared" si="72"/>
        <v>0</v>
      </c>
      <c r="K199" s="161">
        <f t="shared" si="72"/>
        <v>0</v>
      </c>
      <c r="L199" s="161">
        <f t="shared" si="72"/>
        <v>0</v>
      </c>
      <c r="M199" s="161">
        <f t="shared" si="72"/>
        <v>0</v>
      </c>
      <c r="N199" s="161">
        <f>SUM(N197:N198)</f>
        <v>0</v>
      </c>
      <c r="O199" s="161">
        <f>SUM(E199:N199)</f>
        <v>10579585</v>
      </c>
      <c r="P199" s="240">
        <f>SUM(D199-E199-G199-H199-I199-J199-K199-L199-M199)-F199</f>
        <v>0</v>
      </c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</row>
    <row r="200" spans="1:30" s="158" customFormat="1" ht="15.75">
      <c r="A200" s="910"/>
      <c r="B200" s="920" t="s">
        <v>44</v>
      </c>
      <c r="C200" s="921"/>
      <c r="D200" s="169">
        <f>SUM(D199,D196)</f>
        <v>27732125</v>
      </c>
      <c r="E200" s="169">
        <f>SUM(E199,E196)</f>
        <v>1505075</v>
      </c>
      <c r="F200" s="169">
        <f t="shared" ref="F200:O200" si="73">SUM(F199,F196)</f>
        <v>0</v>
      </c>
      <c r="G200" s="169">
        <f t="shared" si="73"/>
        <v>1087838</v>
      </c>
      <c r="H200" s="169">
        <f t="shared" si="73"/>
        <v>23596815</v>
      </c>
      <c r="I200" s="169">
        <f t="shared" si="73"/>
        <v>0</v>
      </c>
      <c r="J200" s="169">
        <f t="shared" si="73"/>
        <v>0</v>
      </c>
      <c r="K200" s="169">
        <f t="shared" si="73"/>
        <v>0</v>
      </c>
      <c r="L200" s="169">
        <f t="shared" si="73"/>
        <v>0</v>
      </c>
      <c r="M200" s="169">
        <f t="shared" si="73"/>
        <v>1542397</v>
      </c>
      <c r="N200" s="169">
        <f>SUM(N199,N196)</f>
        <v>0</v>
      </c>
      <c r="O200" s="169">
        <f t="shared" si="73"/>
        <v>27732125</v>
      </c>
      <c r="P200" s="169">
        <f>SUM(D200-E200-G200-H200-I200-J200-K200-L200-M200)-F200</f>
        <v>0</v>
      </c>
      <c r="Q200" s="159"/>
      <c r="R200" s="159"/>
      <c r="S200" s="159"/>
      <c r="T200" s="159"/>
      <c r="U200" s="159"/>
      <c r="V200" s="159"/>
      <c r="W200" s="159"/>
      <c r="X200" s="159"/>
      <c r="Y200" s="159"/>
      <c r="Z200" s="159"/>
      <c r="AA200" s="159"/>
      <c r="AB200" s="159"/>
      <c r="AC200" s="159"/>
      <c r="AD200" s="159"/>
    </row>
    <row r="201" spans="1:30" s="46" customFormat="1">
      <c r="A201" s="922"/>
      <c r="B201" s="922"/>
      <c r="C201" s="922"/>
      <c r="D201" s="922"/>
      <c r="E201" s="922"/>
      <c r="F201" s="922"/>
      <c r="G201" s="922"/>
      <c r="H201" s="922"/>
      <c r="I201" s="922"/>
      <c r="J201" s="922"/>
      <c r="K201" s="922"/>
      <c r="L201" s="922"/>
      <c r="M201" s="922"/>
      <c r="N201" s="922"/>
      <c r="O201" s="922"/>
      <c r="P201" s="922"/>
    </row>
    <row r="202" spans="1:30" s="24" customFormat="1">
      <c r="A202" s="908" t="s">
        <v>71</v>
      </c>
      <c r="B202" s="506">
        <v>104042</v>
      </c>
      <c r="C202" s="507" t="s">
        <v>522</v>
      </c>
      <c r="D202" s="410"/>
      <c r="E202" s="410"/>
      <c r="F202" s="410"/>
      <c r="G202" s="410"/>
      <c r="H202" s="410"/>
      <c r="I202" s="410"/>
      <c r="J202" s="410"/>
      <c r="K202" s="410"/>
      <c r="L202" s="410"/>
      <c r="M202" s="410"/>
      <c r="N202" s="410"/>
      <c r="O202" s="5">
        <f>SUM(E202:N202)</f>
        <v>0</v>
      </c>
      <c r="P202" s="410">
        <f>SUM(D202-E202-G202-H202-I202-J202-K202-L202-M202)-F202</f>
        <v>0</v>
      </c>
      <c r="Q202" s="108"/>
      <c r="R202" s="108"/>
      <c r="S202" s="108"/>
      <c r="T202" s="108"/>
      <c r="U202" s="108"/>
      <c r="V202" s="108"/>
      <c r="W202" s="108"/>
      <c r="X202" s="108"/>
      <c r="Y202" s="108"/>
      <c r="Z202" s="108"/>
      <c r="AA202" s="108"/>
      <c r="AB202" s="108"/>
      <c r="AC202" s="108"/>
      <c r="AD202" s="108"/>
    </row>
    <row r="203" spans="1:30" s="24" customFormat="1">
      <c r="A203" s="909"/>
      <c r="B203" s="508" t="s">
        <v>508</v>
      </c>
      <c r="C203" s="507" t="s">
        <v>516</v>
      </c>
      <c r="D203" s="410"/>
      <c r="E203" s="410"/>
      <c r="F203" s="410"/>
      <c r="G203" s="410"/>
      <c r="H203" s="410"/>
      <c r="I203" s="410"/>
      <c r="J203" s="410"/>
      <c r="K203" s="410"/>
      <c r="L203" s="410"/>
      <c r="M203" s="410"/>
      <c r="N203" s="410"/>
      <c r="O203" s="5">
        <f>SUM(E203:N203)</f>
        <v>0</v>
      </c>
      <c r="P203" s="410">
        <f>SUM(D203-E203-G203-H203-I203-J203-K203-L203-M203)-F203</f>
        <v>0</v>
      </c>
      <c r="Q203" s="108"/>
      <c r="R203" s="108"/>
      <c r="S203" s="108"/>
      <c r="T203" s="108"/>
      <c r="U203" s="108"/>
      <c r="V203" s="108"/>
      <c r="W203" s="108"/>
      <c r="X203" s="108"/>
      <c r="Y203" s="108"/>
      <c r="Z203" s="108"/>
      <c r="AA203" s="108"/>
      <c r="AB203" s="108"/>
      <c r="AC203" s="108"/>
      <c r="AD203" s="108"/>
    </row>
    <row r="204" spans="1:30" s="20" customFormat="1">
      <c r="A204" s="909"/>
      <c r="B204" s="918" t="s">
        <v>31</v>
      </c>
      <c r="C204" s="919"/>
      <c r="D204" s="161">
        <f>SUM(D202:D203)</f>
        <v>0</v>
      </c>
      <c r="E204" s="161">
        <f>SUM(E202:E203)</f>
        <v>0</v>
      </c>
      <c r="F204" s="161">
        <f t="shared" ref="F204:M204" si="74">SUM(F202:F203)</f>
        <v>0</v>
      </c>
      <c r="G204" s="161">
        <f t="shared" si="74"/>
        <v>0</v>
      </c>
      <c r="H204" s="161">
        <f t="shared" si="74"/>
        <v>0</v>
      </c>
      <c r="I204" s="161">
        <f t="shared" si="74"/>
        <v>0</v>
      </c>
      <c r="J204" s="161">
        <f t="shared" si="74"/>
        <v>0</v>
      </c>
      <c r="K204" s="161">
        <f t="shared" si="74"/>
        <v>0</v>
      </c>
      <c r="L204" s="161">
        <f t="shared" si="74"/>
        <v>0</v>
      </c>
      <c r="M204" s="161">
        <f t="shared" si="74"/>
        <v>0</v>
      </c>
      <c r="N204" s="161">
        <f>SUM(N202:N203)</f>
        <v>0</v>
      </c>
      <c r="O204" s="161">
        <f>SUM(E204:N204)</f>
        <v>0</v>
      </c>
      <c r="P204" s="240">
        <f>SUM(D204-E204-G204-H204-I204-J204-K204-L204-M204)-F204</f>
        <v>0</v>
      </c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</row>
    <row r="205" spans="1:30" s="158" customFormat="1" ht="15.75">
      <c r="A205" s="910"/>
      <c r="B205" s="920" t="s">
        <v>45</v>
      </c>
      <c r="C205" s="921"/>
      <c r="D205" s="169">
        <f>SUM(D204)</f>
        <v>0</v>
      </c>
      <c r="E205" s="169">
        <f>SUM(E204)</f>
        <v>0</v>
      </c>
      <c r="F205" s="169">
        <f t="shared" ref="F205:O205" si="75">SUM(F204)</f>
        <v>0</v>
      </c>
      <c r="G205" s="169">
        <f t="shared" si="75"/>
        <v>0</v>
      </c>
      <c r="H205" s="169">
        <f t="shared" si="75"/>
        <v>0</v>
      </c>
      <c r="I205" s="169">
        <f t="shared" si="75"/>
        <v>0</v>
      </c>
      <c r="J205" s="169">
        <f t="shared" si="75"/>
        <v>0</v>
      </c>
      <c r="K205" s="169">
        <f t="shared" si="75"/>
        <v>0</v>
      </c>
      <c r="L205" s="169">
        <f t="shared" si="75"/>
        <v>0</v>
      </c>
      <c r="M205" s="169">
        <f t="shared" si="75"/>
        <v>0</v>
      </c>
      <c r="N205" s="169">
        <f>SUM(N204)</f>
        <v>0</v>
      </c>
      <c r="O205" s="169">
        <f t="shared" si="75"/>
        <v>0</v>
      </c>
      <c r="P205" s="169">
        <f>SUM(D205-E205-G205-H205-I205-J205-K205-L205-M205)-F205</f>
        <v>0</v>
      </c>
      <c r="Q205" s="159"/>
      <c r="R205" s="159"/>
      <c r="S205" s="159"/>
      <c r="T205" s="159"/>
      <c r="U205" s="159"/>
      <c r="V205" s="159"/>
      <c r="W205" s="159"/>
      <c r="X205" s="159"/>
      <c r="Y205" s="159"/>
      <c r="Z205" s="159"/>
      <c r="AA205" s="159"/>
      <c r="AB205" s="159"/>
      <c r="AC205" s="159"/>
      <c r="AD205" s="159"/>
    </row>
    <row r="206" spans="1:30" s="46" customFormat="1">
      <c r="A206" s="912"/>
      <c r="B206" s="912"/>
      <c r="C206" s="912"/>
      <c r="D206" s="912"/>
      <c r="E206" s="912"/>
      <c r="F206" s="912"/>
      <c r="G206" s="912"/>
      <c r="H206" s="912"/>
      <c r="I206" s="912"/>
      <c r="J206" s="912"/>
      <c r="K206" s="912"/>
      <c r="L206" s="912"/>
      <c r="M206" s="912"/>
      <c r="N206" s="912"/>
      <c r="O206" s="912"/>
      <c r="P206" s="913"/>
    </row>
    <row r="207" spans="1:30" s="24" customFormat="1">
      <c r="A207" s="908" t="s">
        <v>57</v>
      </c>
      <c r="B207" s="506">
        <v>107052</v>
      </c>
      <c r="C207" s="507" t="s">
        <v>518</v>
      </c>
      <c r="D207" s="410">
        <f>3925662+276018</f>
        <v>4201680</v>
      </c>
      <c r="E207" s="410">
        <v>594435</v>
      </c>
      <c r="F207" s="410"/>
      <c r="G207" s="410"/>
      <c r="H207" s="410"/>
      <c r="I207" s="410"/>
      <c r="J207" s="410"/>
      <c r="K207" s="410"/>
      <c r="L207" s="410"/>
      <c r="M207" s="410"/>
      <c r="N207" s="410"/>
      <c r="O207" s="5">
        <f t="shared" ref="O207:O214" si="76">SUM(E207:N207)</f>
        <v>594435</v>
      </c>
      <c r="P207" s="410">
        <f>D207-E207-F207-G207-H207-I207-J207-K207-L207-M207-N207</f>
        <v>3607245</v>
      </c>
      <c r="Q207" s="108"/>
      <c r="R207" s="108"/>
      <c r="S207" s="108"/>
      <c r="T207" s="108"/>
      <c r="U207" s="108"/>
      <c r="V207" s="108"/>
      <c r="W207" s="108"/>
      <c r="X207" s="108"/>
      <c r="Y207" s="108"/>
      <c r="Z207" s="108"/>
      <c r="AA207" s="108"/>
      <c r="AB207" s="108"/>
      <c r="AC207" s="108"/>
      <c r="AD207" s="108"/>
    </row>
    <row r="208" spans="1:30" s="24" customFormat="1">
      <c r="A208" s="909"/>
      <c r="B208" s="506">
        <v>107053</v>
      </c>
      <c r="C208" s="507" t="s">
        <v>519</v>
      </c>
      <c r="D208" s="410"/>
      <c r="E208" s="410"/>
      <c r="F208" s="410"/>
      <c r="G208" s="410"/>
      <c r="H208" s="410"/>
      <c r="I208" s="410"/>
      <c r="J208" s="410"/>
      <c r="K208" s="410"/>
      <c r="L208" s="410"/>
      <c r="M208" s="410"/>
      <c r="N208" s="410"/>
      <c r="O208" s="5">
        <f t="shared" si="76"/>
        <v>0</v>
      </c>
      <c r="P208" s="410">
        <f>D208-E208-F208-G208-H208-I208-J208-K208-L208-M208-N208</f>
        <v>0</v>
      </c>
      <c r="Q208" s="108"/>
      <c r="R208" s="108"/>
      <c r="S208" s="108"/>
      <c r="T208" s="108"/>
      <c r="U208" s="108"/>
      <c r="V208" s="108"/>
      <c r="W208" s="108"/>
      <c r="X208" s="108"/>
      <c r="Y208" s="108"/>
      <c r="Z208" s="108"/>
      <c r="AA208" s="108"/>
      <c r="AB208" s="108"/>
      <c r="AC208" s="108"/>
      <c r="AD208" s="108"/>
    </row>
    <row r="209" spans="1:30" s="24" customFormat="1">
      <c r="A209" s="909"/>
      <c r="B209" s="508" t="s">
        <v>510</v>
      </c>
      <c r="C209" s="507" t="s">
        <v>533</v>
      </c>
      <c r="D209" s="410">
        <v>1053948</v>
      </c>
      <c r="E209" s="410"/>
      <c r="F209" s="410"/>
      <c r="G209" s="410"/>
      <c r="H209" s="410"/>
      <c r="I209" s="410"/>
      <c r="J209" s="410"/>
      <c r="K209" s="410"/>
      <c r="L209" s="410"/>
      <c r="M209" s="410"/>
      <c r="N209" s="410"/>
      <c r="O209" s="5">
        <f t="shared" si="76"/>
        <v>0</v>
      </c>
      <c r="P209" s="410">
        <f>D209-E209-F209-G209-H209-I209-J209-K209-L209-M209-N209</f>
        <v>1053948</v>
      </c>
      <c r="Q209" s="108"/>
      <c r="R209" s="108"/>
      <c r="S209" s="108"/>
      <c r="T209" s="108"/>
      <c r="U209" s="108"/>
      <c r="V209" s="108"/>
      <c r="W209" s="108"/>
      <c r="X209" s="108"/>
      <c r="Y209" s="108"/>
      <c r="Z209" s="108"/>
      <c r="AA209" s="108"/>
      <c r="AB209" s="108"/>
      <c r="AC209" s="108"/>
      <c r="AD209" s="108"/>
    </row>
    <row r="210" spans="1:30" s="24" customFormat="1">
      <c r="A210" s="909"/>
      <c r="B210" s="508" t="s">
        <v>508</v>
      </c>
      <c r="C210" s="507" t="s">
        <v>516</v>
      </c>
      <c r="D210" s="410"/>
      <c r="E210" s="410"/>
      <c r="F210" s="410"/>
      <c r="G210" s="410">
        <v>1053948</v>
      </c>
      <c r="H210" s="410">
        <v>3400318</v>
      </c>
      <c r="I210" s="410"/>
      <c r="J210" s="410"/>
      <c r="K210" s="410"/>
      <c r="L210" s="410"/>
      <c r="M210" s="410">
        <v>222349</v>
      </c>
      <c r="N210" s="410"/>
      <c r="O210" s="5">
        <f t="shared" si="76"/>
        <v>4676615</v>
      </c>
      <c r="P210" s="410">
        <f>D210-E210-F210-G210-H210-I210-J210-K210-L210-M210-N210</f>
        <v>-4676615</v>
      </c>
      <c r="Q210" s="108"/>
      <c r="R210" s="108"/>
      <c r="S210" s="108"/>
      <c r="T210" s="108"/>
      <c r="U210" s="108"/>
      <c r="V210" s="108"/>
      <c r="W210" s="108"/>
      <c r="X210" s="108"/>
      <c r="Y210" s="108"/>
      <c r="Z210" s="108"/>
      <c r="AA210" s="108"/>
      <c r="AB210" s="108"/>
      <c r="AC210" s="108"/>
      <c r="AD210" s="108"/>
    </row>
    <row r="211" spans="1:30" s="20" customFormat="1">
      <c r="A211" s="909"/>
      <c r="B211" s="916" t="s">
        <v>30</v>
      </c>
      <c r="C211" s="917"/>
      <c r="D211" s="160">
        <f>SUM(D207:D210)</f>
        <v>5255628</v>
      </c>
      <c r="E211" s="160">
        <f>SUM(E207:E210)</f>
        <v>594435</v>
      </c>
      <c r="F211" s="160">
        <f>SUM(F207:F210)</f>
        <v>0</v>
      </c>
      <c r="G211" s="160">
        <f>SUM(G207:G210)</f>
        <v>1053948</v>
      </c>
      <c r="H211" s="160">
        <f>SUM(H207:H210)</f>
        <v>3400318</v>
      </c>
      <c r="I211" s="160">
        <f t="shared" ref="I211:L211" si="77">SUM(I205:I207)</f>
        <v>0</v>
      </c>
      <c r="J211" s="160">
        <f t="shared" si="77"/>
        <v>0</v>
      </c>
      <c r="K211" s="160">
        <f t="shared" si="77"/>
        <v>0</v>
      </c>
      <c r="L211" s="160">
        <f t="shared" si="77"/>
        <v>0</v>
      </c>
      <c r="M211" s="160">
        <f>SUM(M207:M210)</f>
        <v>222349</v>
      </c>
      <c r="N211" s="160">
        <f>SUM(N205:N207)</f>
        <v>0</v>
      </c>
      <c r="O211" s="160">
        <f t="shared" si="76"/>
        <v>5271050</v>
      </c>
      <c r="P211" s="239">
        <f>SUM(D211-E211-G211-H211-I211-J211-K211-L211-M211)-F211</f>
        <v>-15422</v>
      </c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</row>
    <row r="212" spans="1:30" s="24" customFormat="1">
      <c r="A212" s="909"/>
      <c r="B212" s="506">
        <v>104042</v>
      </c>
      <c r="C212" s="507" t="s">
        <v>522</v>
      </c>
      <c r="D212" s="410"/>
      <c r="E212" s="410"/>
      <c r="F212" s="410"/>
      <c r="G212" s="410"/>
      <c r="H212" s="410"/>
      <c r="I212" s="410"/>
      <c r="J212" s="410"/>
      <c r="K212" s="410"/>
      <c r="L212" s="410"/>
      <c r="M212" s="410"/>
      <c r="N212" s="410"/>
      <c r="O212" s="244">
        <f t="shared" si="76"/>
        <v>0</v>
      </c>
      <c r="P212" s="5">
        <f>SUM(D212-E212-G212-H212-I212-J212-K212-L212-M212)-F212</f>
        <v>0</v>
      </c>
      <c r="Q212" s="108"/>
      <c r="R212" s="108"/>
      <c r="S212" s="108"/>
      <c r="T212" s="108"/>
      <c r="U212" s="108"/>
      <c r="V212" s="108"/>
      <c r="W212" s="108"/>
      <c r="X212" s="108"/>
      <c r="Y212" s="108"/>
      <c r="Z212" s="108"/>
      <c r="AA212" s="108"/>
      <c r="AB212" s="108"/>
      <c r="AC212" s="108"/>
      <c r="AD212" s="108"/>
    </row>
    <row r="213" spans="1:30" s="24" customFormat="1">
      <c r="A213" s="909"/>
      <c r="B213" s="508" t="s">
        <v>508</v>
      </c>
      <c r="C213" s="507" t="s">
        <v>516</v>
      </c>
      <c r="D213" s="410"/>
      <c r="E213" s="410"/>
      <c r="F213" s="410"/>
      <c r="G213" s="410"/>
      <c r="H213" s="410"/>
      <c r="I213" s="410"/>
      <c r="J213" s="410"/>
      <c r="K213" s="410"/>
      <c r="L213" s="410"/>
      <c r="M213" s="410"/>
      <c r="N213" s="410"/>
      <c r="O213" s="244">
        <f t="shared" si="76"/>
        <v>0</v>
      </c>
      <c r="P213" s="5">
        <f>SUM(D213-E213-G213-H213-I213-J213-K213-L213-M213)-F213</f>
        <v>0</v>
      </c>
      <c r="Q213" s="108"/>
      <c r="R213" s="108"/>
      <c r="S213" s="108"/>
      <c r="T213" s="108"/>
      <c r="U213" s="108"/>
      <c r="V213" s="108"/>
      <c r="W213" s="108"/>
      <c r="X213" s="108"/>
      <c r="Y213" s="108"/>
      <c r="Z213" s="108"/>
      <c r="AA213" s="108"/>
      <c r="AB213" s="108"/>
      <c r="AC213" s="108"/>
      <c r="AD213" s="108"/>
    </row>
    <row r="214" spans="1:30" s="20" customFormat="1">
      <c r="A214" s="909"/>
      <c r="B214" s="918" t="s">
        <v>31</v>
      </c>
      <c r="C214" s="919"/>
      <c r="D214" s="161">
        <f>SUM(D212:D213)</f>
        <v>0</v>
      </c>
      <c r="E214" s="161">
        <f>SUM(E212:E213)</f>
        <v>0</v>
      </c>
      <c r="F214" s="161">
        <f t="shared" ref="F214:N214" si="78">SUM(F212:F213)</f>
        <v>0</v>
      </c>
      <c r="G214" s="161">
        <f t="shared" si="78"/>
        <v>0</v>
      </c>
      <c r="H214" s="161">
        <f>SUM(H212:H213)</f>
        <v>0</v>
      </c>
      <c r="I214" s="161">
        <f t="shared" si="78"/>
        <v>0</v>
      </c>
      <c r="J214" s="161">
        <f t="shared" si="78"/>
        <v>0</v>
      </c>
      <c r="K214" s="161">
        <f t="shared" si="78"/>
        <v>0</v>
      </c>
      <c r="L214" s="161">
        <f t="shared" si="78"/>
        <v>0</v>
      </c>
      <c r="M214" s="161">
        <f t="shared" si="78"/>
        <v>0</v>
      </c>
      <c r="N214" s="161">
        <f t="shared" si="78"/>
        <v>0</v>
      </c>
      <c r="O214" s="161">
        <f t="shared" si="76"/>
        <v>0</v>
      </c>
      <c r="P214" s="240">
        <f>SUM(D214-E214-G214-H214-I214-J214-K214-L214-M214)-F214</f>
        <v>0</v>
      </c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</row>
    <row r="215" spans="1:30" s="158" customFormat="1" ht="15.75">
      <c r="A215" s="910"/>
      <c r="B215" s="920" t="s">
        <v>46</v>
      </c>
      <c r="C215" s="921"/>
      <c r="D215" s="169">
        <f>SUM(D214+D211)</f>
        <v>5255628</v>
      </c>
      <c r="E215" s="169">
        <f t="shared" ref="E215:N215" si="79">SUM(E214+E211)</f>
        <v>594435</v>
      </c>
      <c r="F215" s="169">
        <f t="shared" si="79"/>
        <v>0</v>
      </c>
      <c r="G215" s="169">
        <f t="shared" si="79"/>
        <v>1053948</v>
      </c>
      <c r="H215" s="169">
        <f t="shared" si="79"/>
        <v>3400318</v>
      </c>
      <c r="I215" s="169">
        <f t="shared" si="79"/>
        <v>0</v>
      </c>
      <c r="J215" s="169">
        <f t="shared" si="79"/>
        <v>0</v>
      </c>
      <c r="K215" s="169">
        <f t="shared" si="79"/>
        <v>0</v>
      </c>
      <c r="L215" s="169">
        <f t="shared" si="79"/>
        <v>0</v>
      </c>
      <c r="M215" s="169">
        <f t="shared" si="79"/>
        <v>222349</v>
      </c>
      <c r="N215" s="169">
        <f t="shared" si="79"/>
        <v>0</v>
      </c>
      <c r="O215" s="169">
        <f>SUM(O214)</f>
        <v>0</v>
      </c>
      <c r="P215" s="169">
        <f>SUM(D215-E215-G215-H215-I215-J215-K215-L215-M215)-F215</f>
        <v>-15422</v>
      </c>
      <c r="Q215" s="159"/>
      <c r="R215" s="159"/>
      <c r="S215" s="159"/>
      <c r="T215" s="159"/>
      <c r="U215" s="159"/>
      <c r="V215" s="159"/>
      <c r="W215" s="159"/>
      <c r="X215" s="159"/>
      <c r="Y215" s="159"/>
      <c r="Z215" s="159"/>
      <c r="AA215" s="159"/>
      <c r="AB215" s="159"/>
      <c r="AC215" s="159"/>
      <c r="AD215" s="159"/>
    </row>
    <row r="216" spans="1:30" s="46" customFormat="1">
      <c r="A216" s="912"/>
      <c r="B216" s="912"/>
      <c r="C216" s="912"/>
      <c r="D216" s="912"/>
      <c r="E216" s="912"/>
      <c r="F216" s="912"/>
      <c r="G216" s="912"/>
      <c r="H216" s="912"/>
      <c r="I216" s="912"/>
      <c r="J216" s="912"/>
      <c r="K216" s="912"/>
      <c r="L216" s="912"/>
      <c r="M216" s="912"/>
      <c r="N216" s="912"/>
      <c r="O216" s="912"/>
      <c r="P216" s="913"/>
    </row>
    <row r="217" spans="1:30" s="24" customFormat="1">
      <c r="A217" s="908" t="s">
        <v>69</v>
      </c>
      <c r="B217" s="506">
        <v>104042</v>
      </c>
      <c r="C217" s="507" t="s">
        <v>522</v>
      </c>
      <c r="D217" s="410"/>
      <c r="E217" s="410"/>
      <c r="F217" s="410"/>
      <c r="G217" s="410"/>
      <c r="H217" s="410"/>
      <c r="I217" s="410"/>
      <c r="J217" s="410"/>
      <c r="K217" s="410"/>
      <c r="L217" s="410"/>
      <c r="M217" s="410"/>
      <c r="N217" s="410"/>
      <c r="O217" s="5">
        <f>SUM(E217:N217)</f>
        <v>0</v>
      </c>
      <c r="P217" s="410">
        <f>SUM(D217-E217-G217-H217-I217-J217-K217-L217-M217)-F217</f>
        <v>0</v>
      </c>
      <c r="Q217" s="108"/>
      <c r="R217" s="108"/>
      <c r="S217" s="108"/>
      <c r="T217" s="108"/>
      <c r="U217" s="108"/>
      <c r="V217" s="108"/>
      <c r="W217" s="108"/>
      <c r="X217" s="108"/>
      <c r="Y217" s="108"/>
      <c r="Z217" s="108"/>
      <c r="AA217" s="108"/>
      <c r="AB217" s="108"/>
      <c r="AC217" s="108"/>
      <c r="AD217" s="108"/>
    </row>
    <row r="218" spans="1:30" s="24" customFormat="1">
      <c r="A218" s="909"/>
      <c r="B218" s="508" t="s">
        <v>508</v>
      </c>
      <c r="C218" s="507" t="s">
        <v>516</v>
      </c>
      <c r="D218" s="410"/>
      <c r="E218" s="410"/>
      <c r="F218" s="410"/>
      <c r="G218" s="410"/>
      <c r="H218" s="410"/>
      <c r="I218" s="410"/>
      <c r="J218" s="410"/>
      <c r="K218" s="410"/>
      <c r="L218" s="410"/>
      <c r="M218" s="410"/>
      <c r="N218" s="410"/>
      <c r="O218" s="5">
        <f>SUM(E218:N218)</f>
        <v>0</v>
      </c>
      <c r="P218" s="410">
        <f>SUM(D218-E218-G218-H218-I218-J218-K218-L218-M218)-F218</f>
        <v>0</v>
      </c>
      <c r="Q218" s="108"/>
      <c r="R218" s="108"/>
      <c r="S218" s="108"/>
      <c r="T218" s="108"/>
      <c r="U218" s="108"/>
      <c r="V218" s="108"/>
      <c r="W218" s="108"/>
      <c r="X218" s="108"/>
      <c r="Y218" s="108"/>
      <c r="Z218" s="108"/>
      <c r="AA218" s="108"/>
      <c r="AB218" s="108"/>
      <c r="AC218" s="108"/>
      <c r="AD218" s="108"/>
    </row>
    <row r="219" spans="1:30" s="20" customFormat="1">
      <c r="A219" s="909"/>
      <c r="B219" s="769" t="s">
        <v>31</v>
      </c>
      <c r="C219" s="769"/>
      <c r="D219" s="161">
        <f>SUM(D217:D218)</f>
        <v>0</v>
      </c>
      <c r="E219" s="161">
        <f>SUM(E217:E218)</f>
        <v>0</v>
      </c>
      <c r="F219" s="161">
        <f t="shared" ref="F219:M219" si="80">SUM(F217:F218)</f>
        <v>0</v>
      </c>
      <c r="G219" s="161">
        <f t="shared" si="80"/>
        <v>0</v>
      </c>
      <c r="H219" s="161">
        <f t="shared" si="80"/>
        <v>0</v>
      </c>
      <c r="I219" s="161">
        <f t="shared" si="80"/>
        <v>0</v>
      </c>
      <c r="J219" s="161">
        <f t="shared" si="80"/>
        <v>0</v>
      </c>
      <c r="K219" s="161">
        <f t="shared" si="80"/>
        <v>0</v>
      </c>
      <c r="L219" s="161">
        <f t="shared" si="80"/>
        <v>0</v>
      </c>
      <c r="M219" s="161">
        <f t="shared" si="80"/>
        <v>0</v>
      </c>
      <c r="N219" s="161">
        <f>SUM(N217:N218)</f>
        <v>0</v>
      </c>
      <c r="O219" s="161">
        <f>SUM(E219:N219)</f>
        <v>0</v>
      </c>
      <c r="P219" s="240">
        <f>SUM(D219-E219-G219-H219-I219-J219-K219-L219-M219)-F219</f>
        <v>0</v>
      </c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</row>
    <row r="220" spans="1:30" s="158" customFormat="1" ht="15.75">
      <c r="A220" s="910"/>
      <c r="B220" s="902" t="s">
        <v>47</v>
      </c>
      <c r="C220" s="902"/>
      <c r="D220" s="169">
        <f>SUM(D219)</f>
        <v>0</v>
      </c>
      <c r="E220" s="169">
        <f>SUM(E219)</f>
        <v>0</v>
      </c>
      <c r="F220" s="169">
        <f t="shared" ref="F220:O220" si="81">SUM(F219)</f>
        <v>0</v>
      </c>
      <c r="G220" s="169">
        <f t="shared" si="81"/>
        <v>0</v>
      </c>
      <c r="H220" s="169">
        <f t="shared" si="81"/>
        <v>0</v>
      </c>
      <c r="I220" s="169">
        <f t="shared" si="81"/>
        <v>0</v>
      </c>
      <c r="J220" s="169">
        <f t="shared" si="81"/>
        <v>0</v>
      </c>
      <c r="K220" s="169">
        <f t="shared" si="81"/>
        <v>0</v>
      </c>
      <c r="L220" s="169">
        <f t="shared" si="81"/>
        <v>0</v>
      </c>
      <c r="M220" s="169">
        <f t="shared" si="81"/>
        <v>0</v>
      </c>
      <c r="N220" s="169">
        <f>SUM(N219)</f>
        <v>0</v>
      </c>
      <c r="O220" s="169">
        <f t="shared" si="81"/>
        <v>0</v>
      </c>
      <c r="P220" s="169">
        <f>SUM(D220-E220-G220-H220-I220-J220-K220-L220-M220)-F220</f>
        <v>0</v>
      </c>
      <c r="Q220" s="159"/>
      <c r="R220" s="159"/>
      <c r="S220" s="159"/>
      <c r="T220" s="159"/>
      <c r="U220" s="159"/>
      <c r="V220" s="159"/>
      <c r="W220" s="159"/>
      <c r="X220" s="159"/>
      <c r="Y220" s="159"/>
      <c r="Z220" s="159"/>
      <c r="AA220" s="159"/>
      <c r="AB220" s="159"/>
      <c r="AC220" s="159"/>
      <c r="AD220" s="159"/>
    </row>
    <row r="221" spans="1:30" s="46" customFormat="1">
      <c r="A221" s="922"/>
      <c r="B221" s="922"/>
      <c r="C221" s="922"/>
      <c r="D221" s="922"/>
      <c r="E221" s="922"/>
      <c r="F221" s="922"/>
      <c r="G221" s="922"/>
      <c r="H221" s="922"/>
      <c r="I221" s="922"/>
      <c r="J221" s="922"/>
      <c r="K221" s="922"/>
      <c r="L221" s="922"/>
      <c r="M221" s="922"/>
      <c r="N221" s="922"/>
      <c r="O221" s="922"/>
      <c r="P221" s="922"/>
    </row>
    <row r="222" spans="1:30" s="24" customFormat="1">
      <c r="A222" s="908" t="s">
        <v>68</v>
      </c>
      <c r="B222" s="506">
        <v>107052</v>
      </c>
      <c r="C222" s="507" t="s">
        <v>518</v>
      </c>
      <c r="D222" s="410">
        <f>7263169+663347</f>
        <v>7926516</v>
      </c>
      <c r="E222" s="410">
        <v>876732</v>
      </c>
      <c r="F222" s="410"/>
      <c r="G222" s="410"/>
      <c r="H222" s="410"/>
      <c r="I222" s="410"/>
      <c r="J222" s="410"/>
      <c r="K222" s="410"/>
      <c r="L222" s="410"/>
      <c r="M222" s="410"/>
      <c r="N222" s="410"/>
      <c r="O222" s="5">
        <f t="shared" ref="O222:O229" si="82">SUM(E222:N222)</f>
        <v>876732</v>
      </c>
      <c r="P222" s="410">
        <f t="shared" ref="P222:P230" si="83">SUM(D222-E222-G222-H222-I222-J222-K222-L222-M222)-F222</f>
        <v>7049784</v>
      </c>
      <c r="Q222" s="108"/>
      <c r="R222" s="108"/>
      <c r="S222" s="108"/>
      <c r="T222" s="108"/>
      <c r="U222" s="108"/>
      <c r="V222" s="108"/>
      <c r="W222" s="108"/>
      <c r="X222" s="108"/>
      <c r="Y222" s="108"/>
      <c r="Z222" s="108"/>
      <c r="AA222" s="108"/>
      <c r="AB222" s="108"/>
      <c r="AC222" s="108"/>
      <c r="AD222" s="108"/>
    </row>
    <row r="223" spans="1:30" s="24" customFormat="1">
      <c r="A223" s="909"/>
      <c r="B223" s="506">
        <v>107053</v>
      </c>
      <c r="C223" s="507" t="s">
        <v>519</v>
      </c>
      <c r="D223" s="410">
        <v>81280</v>
      </c>
      <c r="E223" s="410">
        <v>34580</v>
      </c>
      <c r="F223" s="410"/>
      <c r="G223" s="410"/>
      <c r="H223" s="410"/>
      <c r="I223" s="410"/>
      <c r="J223" s="410"/>
      <c r="K223" s="410"/>
      <c r="L223" s="410"/>
      <c r="M223" s="410"/>
      <c r="N223" s="410"/>
      <c r="O223" s="5">
        <f t="shared" si="82"/>
        <v>34580</v>
      </c>
      <c r="P223" s="410">
        <f t="shared" si="83"/>
        <v>46700</v>
      </c>
      <c r="Q223" s="108"/>
      <c r="R223" s="108"/>
      <c r="S223" s="108"/>
      <c r="T223" s="108"/>
      <c r="U223" s="108"/>
      <c r="V223" s="108"/>
      <c r="W223" s="108"/>
      <c r="X223" s="108"/>
      <c r="Y223" s="108"/>
      <c r="Z223" s="108"/>
      <c r="AA223" s="108"/>
      <c r="AB223" s="108"/>
      <c r="AC223" s="108"/>
      <c r="AD223" s="108"/>
    </row>
    <row r="224" spans="1:30" s="24" customFormat="1">
      <c r="A224" s="909"/>
      <c r="B224" s="508" t="s">
        <v>510</v>
      </c>
      <c r="C224" s="507" t="s">
        <v>533</v>
      </c>
      <c r="D224" s="410">
        <v>1087838</v>
      </c>
      <c r="E224" s="410"/>
      <c r="F224" s="410"/>
      <c r="G224" s="410"/>
      <c r="H224" s="410"/>
      <c r="I224" s="410"/>
      <c r="J224" s="410"/>
      <c r="K224" s="410"/>
      <c r="L224" s="410"/>
      <c r="M224" s="410"/>
      <c r="N224" s="410"/>
      <c r="O224" s="5">
        <f t="shared" si="82"/>
        <v>0</v>
      </c>
      <c r="P224" s="410">
        <f t="shared" si="83"/>
        <v>1087838</v>
      </c>
      <c r="Q224" s="108"/>
      <c r="R224" s="108"/>
      <c r="S224" s="108"/>
      <c r="T224" s="108"/>
      <c r="U224" s="108"/>
      <c r="V224" s="108"/>
      <c r="W224" s="108"/>
      <c r="X224" s="108"/>
      <c r="Y224" s="108"/>
      <c r="Z224" s="108"/>
      <c r="AA224" s="108"/>
      <c r="AB224" s="108"/>
      <c r="AC224" s="108"/>
      <c r="AD224" s="108"/>
    </row>
    <row r="225" spans="1:30" s="24" customFormat="1">
      <c r="A225" s="909"/>
      <c r="B225" s="508" t="s">
        <v>508</v>
      </c>
      <c r="C225" s="507" t="s">
        <v>516</v>
      </c>
      <c r="D225" s="410"/>
      <c r="E225" s="410"/>
      <c r="F225" s="410"/>
      <c r="G225" s="410">
        <v>1087838</v>
      </c>
      <c r="H225" s="410">
        <v>6699897</v>
      </c>
      <c r="I225" s="410"/>
      <c r="J225" s="410"/>
      <c r="K225" s="410"/>
      <c r="L225" s="410"/>
      <c r="M225" s="410">
        <v>458371</v>
      </c>
      <c r="N225" s="410"/>
      <c r="O225" s="5">
        <f t="shared" si="82"/>
        <v>8246106</v>
      </c>
      <c r="P225" s="410">
        <f t="shared" si="83"/>
        <v>-8246106</v>
      </c>
      <c r="Q225" s="108"/>
      <c r="R225" s="108"/>
      <c r="S225" s="108"/>
      <c r="T225" s="108"/>
      <c r="U225" s="108"/>
      <c r="V225" s="108"/>
      <c r="W225" s="108"/>
      <c r="X225" s="108"/>
      <c r="Y225" s="108"/>
      <c r="Z225" s="108"/>
      <c r="AA225" s="108"/>
      <c r="AB225" s="108"/>
      <c r="AC225" s="108"/>
      <c r="AD225" s="108"/>
    </row>
    <row r="226" spans="1:30" s="20" customFormat="1">
      <c r="A226" s="909"/>
      <c r="B226" s="923" t="s">
        <v>30</v>
      </c>
      <c r="C226" s="923"/>
      <c r="D226" s="160">
        <f>SUM(D222:D225)</f>
        <v>9095634</v>
      </c>
      <c r="E226" s="160">
        <f>SUM(E222:E225)</f>
        <v>911312</v>
      </c>
      <c r="F226" s="160">
        <f>SUM(F222:F225)</f>
        <v>0</v>
      </c>
      <c r="G226" s="160">
        <f>SUM(G222:G225)</f>
        <v>1087838</v>
      </c>
      <c r="H226" s="160">
        <f>SUM(H222:H225)</f>
        <v>6699897</v>
      </c>
      <c r="I226" s="160">
        <f>SUM(I220:I222)</f>
        <v>0</v>
      </c>
      <c r="J226" s="160">
        <f>SUM(J220:J222)</f>
        <v>0</v>
      </c>
      <c r="K226" s="160">
        <f>SUM(K220:K222)</f>
        <v>0</v>
      </c>
      <c r="L226" s="160">
        <f>SUM(L220:L222)</f>
        <v>0</v>
      </c>
      <c r="M226" s="160">
        <f>SUM(M222:M225)</f>
        <v>458371</v>
      </c>
      <c r="N226" s="160">
        <f>SUM(N220:N222)</f>
        <v>0</v>
      </c>
      <c r="O226" s="160">
        <f t="shared" si="82"/>
        <v>9157418</v>
      </c>
      <c r="P226" s="239">
        <f>SUM(D226-E226-G226-H226-I226-J226-K226-L226-M226)-F226</f>
        <v>-61784</v>
      </c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</row>
    <row r="227" spans="1:30" s="24" customFormat="1">
      <c r="A227" s="909"/>
      <c r="B227" s="506">
        <v>104042</v>
      </c>
      <c r="C227" s="507" t="s">
        <v>522</v>
      </c>
      <c r="D227" s="410"/>
      <c r="E227" s="410"/>
      <c r="F227" s="410"/>
      <c r="G227" s="410"/>
      <c r="H227" s="410"/>
      <c r="I227" s="410"/>
      <c r="J227" s="410"/>
      <c r="K227" s="410"/>
      <c r="L227" s="410"/>
      <c r="M227" s="410"/>
      <c r="N227" s="410"/>
      <c r="O227" s="5">
        <f t="shared" si="82"/>
        <v>0</v>
      </c>
      <c r="P227" s="410">
        <f t="shared" si="83"/>
        <v>0</v>
      </c>
      <c r="Q227" s="108"/>
      <c r="R227" s="108"/>
      <c r="S227" s="108"/>
      <c r="T227" s="108"/>
      <c r="U227" s="108"/>
      <c r="V227" s="108"/>
      <c r="W227" s="108"/>
      <c r="X227" s="108"/>
      <c r="Y227" s="108"/>
      <c r="Z227" s="108"/>
      <c r="AA227" s="108"/>
      <c r="AB227" s="108"/>
      <c r="AC227" s="108"/>
      <c r="AD227" s="108"/>
    </row>
    <row r="228" spans="1:30" s="24" customFormat="1">
      <c r="A228" s="909"/>
      <c r="B228" s="508" t="s">
        <v>508</v>
      </c>
      <c r="C228" s="507" t="s">
        <v>516</v>
      </c>
      <c r="D228" s="410"/>
      <c r="E228" s="410"/>
      <c r="F228" s="410"/>
      <c r="G228" s="410"/>
      <c r="H228" s="410"/>
      <c r="I228" s="410"/>
      <c r="J228" s="410"/>
      <c r="K228" s="410"/>
      <c r="L228" s="410"/>
      <c r="M228" s="410"/>
      <c r="N228" s="410"/>
      <c r="O228" s="5">
        <f t="shared" si="82"/>
        <v>0</v>
      </c>
      <c r="P228" s="410">
        <f t="shared" si="83"/>
        <v>0</v>
      </c>
      <c r="Q228" s="108"/>
      <c r="R228" s="108"/>
      <c r="S228" s="108"/>
      <c r="T228" s="108"/>
      <c r="U228" s="108"/>
      <c r="V228" s="108"/>
      <c r="W228" s="108"/>
      <c r="X228" s="108"/>
      <c r="Y228" s="108"/>
      <c r="Z228" s="108"/>
      <c r="AA228" s="108"/>
      <c r="AB228" s="108"/>
      <c r="AC228" s="108"/>
      <c r="AD228" s="108"/>
    </row>
    <row r="229" spans="1:30" s="20" customFormat="1">
      <c r="A229" s="909"/>
      <c r="B229" s="769" t="s">
        <v>31</v>
      </c>
      <c r="C229" s="769"/>
      <c r="D229" s="161">
        <f>SUM(D227:D228)</f>
        <v>0</v>
      </c>
      <c r="E229" s="161">
        <f>SUM(E227:E228)</f>
        <v>0</v>
      </c>
      <c r="F229" s="161">
        <f t="shared" ref="F229:M229" si="84">SUM(F227:F228)</f>
        <v>0</v>
      </c>
      <c r="G229" s="161">
        <f t="shared" si="84"/>
        <v>0</v>
      </c>
      <c r="H229" s="161">
        <f t="shared" si="84"/>
        <v>0</v>
      </c>
      <c r="I229" s="161">
        <f t="shared" si="84"/>
        <v>0</v>
      </c>
      <c r="J229" s="161">
        <f t="shared" si="84"/>
        <v>0</v>
      </c>
      <c r="K229" s="161">
        <f t="shared" si="84"/>
        <v>0</v>
      </c>
      <c r="L229" s="161">
        <f t="shared" si="84"/>
        <v>0</v>
      </c>
      <c r="M229" s="161">
        <f t="shared" si="84"/>
        <v>0</v>
      </c>
      <c r="N229" s="161">
        <f>SUM(N227:N228)</f>
        <v>0</v>
      </c>
      <c r="O229" s="161">
        <f t="shared" si="82"/>
        <v>0</v>
      </c>
      <c r="P229" s="240">
        <f t="shared" si="83"/>
        <v>0</v>
      </c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</row>
    <row r="230" spans="1:30" s="158" customFormat="1" ht="15.75">
      <c r="A230" s="910"/>
      <c r="B230" s="902" t="s">
        <v>48</v>
      </c>
      <c r="C230" s="902"/>
      <c r="D230" s="169">
        <f>SUM(D229,D226)</f>
        <v>9095634</v>
      </c>
      <c r="E230" s="169">
        <f>SUM(E229,E226)</f>
        <v>911312</v>
      </c>
      <c r="F230" s="169">
        <f t="shared" ref="F230:O230" si="85">SUM(F229,F226)</f>
        <v>0</v>
      </c>
      <c r="G230" s="169">
        <f t="shared" si="85"/>
        <v>1087838</v>
      </c>
      <c r="H230" s="169">
        <f t="shared" si="85"/>
        <v>6699897</v>
      </c>
      <c r="I230" s="169">
        <f t="shared" si="85"/>
        <v>0</v>
      </c>
      <c r="J230" s="169">
        <f t="shared" si="85"/>
        <v>0</v>
      </c>
      <c r="K230" s="169">
        <f t="shared" si="85"/>
        <v>0</v>
      </c>
      <c r="L230" s="169">
        <f t="shared" si="85"/>
        <v>0</v>
      </c>
      <c r="M230" s="169">
        <f t="shared" si="85"/>
        <v>458371</v>
      </c>
      <c r="N230" s="169">
        <f>SUM(N229,N226)</f>
        <v>0</v>
      </c>
      <c r="O230" s="169">
        <f t="shared" si="85"/>
        <v>9157418</v>
      </c>
      <c r="P230" s="169">
        <f t="shared" si="83"/>
        <v>-61784</v>
      </c>
      <c r="Q230" s="159"/>
      <c r="R230" s="159"/>
      <c r="S230" s="159"/>
      <c r="T230" s="159"/>
      <c r="U230" s="159"/>
      <c r="V230" s="159"/>
      <c r="W230" s="159"/>
      <c r="X230" s="159"/>
      <c r="Y230" s="159"/>
      <c r="Z230" s="159"/>
      <c r="AA230" s="159"/>
      <c r="AB230" s="159"/>
      <c r="AC230" s="159"/>
      <c r="AD230" s="159"/>
    </row>
    <row r="231" spans="1:30" s="46" customFormat="1">
      <c r="A231" s="912"/>
      <c r="B231" s="912"/>
      <c r="C231" s="912"/>
      <c r="D231" s="912"/>
      <c r="E231" s="912"/>
      <c r="F231" s="912"/>
      <c r="G231" s="912"/>
      <c r="H231" s="912"/>
      <c r="I231" s="912"/>
      <c r="J231" s="912"/>
      <c r="K231" s="912"/>
      <c r="L231" s="912"/>
      <c r="M231" s="912"/>
      <c r="N231" s="912"/>
      <c r="O231" s="912"/>
      <c r="P231" s="913"/>
    </row>
    <row r="232" spans="1:30" s="158" customFormat="1" ht="15.75">
      <c r="A232" s="908" t="s">
        <v>126</v>
      </c>
      <c r="B232" s="911" t="s">
        <v>82</v>
      </c>
      <c r="C232" s="911"/>
      <c r="D232" s="166">
        <f>SUM(D40)</f>
        <v>484657411</v>
      </c>
      <c r="E232" s="166">
        <f t="shared" ref="E232:P232" si="86">SUM(E40)</f>
        <v>3688</v>
      </c>
      <c r="F232" s="166">
        <f t="shared" si="86"/>
        <v>335027</v>
      </c>
      <c r="G232" s="166">
        <f t="shared" si="86"/>
        <v>472921672</v>
      </c>
      <c r="H232" s="166">
        <f t="shared" si="86"/>
        <v>0</v>
      </c>
      <c r="I232" s="166">
        <f t="shared" si="86"/>
        <v>0</v>
      </c>
      <c r="J232" s="166">
        <f t="shared" si="86"/>
        <v>0</v>
      </c>
      <c r="K232" s="166">
        <f t="shared" si="86"/>
        <v>0</v>
      </c>
      <c r="L232" s="166">
        <f t="shared" si="86"/>
        <v>0</v>
      </c>
      <c r="M232" s="166">
        <f t="shared" si="86"/>
        <v>29756642</v>
      </c>
      <c r="N232" s="166">
        <f t="shared" si="86"/>
        <v>0</v>
      </c>
      <c r="O232" s="166">
        <f t="shared" si="86"/>
        <v>503017029</v>
      </c>
      <c r="P232" s="429">
        <f t="shared" si="86"/>
        <v>-18359618</v>
      </c>
      <c r="Q232" s="159"/>
      <c r="R232" s="159"/>
      <c r="S232" s="159"/>
      <c r="T232" s="159"/>
      <c r="U232" s="159"/>
      <c r="V232" s="159"/>
      <c r="W232" s="159"/>
      <c r="X232" s="159"/>
      <c r="Y232" s="159"/>
      <c r="Z232" s="159"/>
      <c r="AA232" s="159"/>
      <c r="AB232" s="159"/>
      <c r="AC232" s="159"/>
      <c r="AD232" s="159"/>
    </row>
    <row r="233" spans="1:30" s="158" customFormat="1" ht="15.75">
      <c r="A233" s="909"/>
      <c r="B233" s="900" t="s">
        <v>49</v>
      </c>
      <c r="C233" s="900"/>
      <c r="D233" s="168">
        <f t="shared" ref="D233:P233" si="87">SUM(D11)</f>
        <v>100706507</v>
      </c>
      <c r="E233" s="168">
        <f t="shared" si="87"/>
        <v>3169096</v>
      </c>
      <c r="F233" s="168">
        <f t="shared" si="87"/>
        <v>100000</v>
      </c>
      <c r="G233" s="168">
        <f t="shared" si="87"/>
        <v>13554074</v>
      </c>
      <c r="H233" s="168">
        <f t="shared" si="87"/>
        <v>92332066</v>
      </c>
      <c r="I233" s="168">
        <f t="shared" si="87"/>
        <v>0</v>
      </c>
      <c r="J233" s="168">
        <f t="shared" si="87"/>
        <v>0</v>
      </c>
      <c r="K233" s="168">
        <f t="shared" si="87"/>
        <v>0</v>
      </c>
      <c r="L233" s="168">
        <f t="shared" si="87"/>
        <v>0</v>
      </c>
      <c r="M233" s="168">
        <f t="shared" si="87"/>
        <v>7285124</v>
      </c>
      <c r="N233" s="168">
        <f t="shared" si="87"/>
        <v>0</v>
      </c>
      <c r="O233" s="168">
        <f t="shared" si="87"/>
        <v>116440360</v>
      </c>
      <c r="P233" s="430">
        <f t="shared" si="87"/>
        <v>-15733853</v>
      </c>
      <c r="Q233" s="159"/>
      <c r="R233" s="159"/>
      <c r="S233" s="159"/>
      <c r="T233" s="159"/>
      <c r="U233" s="159"/>
      <c r="V233" s="159"/>
      <c r="W233" s="159"/>
      <c r="X233" s="159"/>
      <c r="Y233" s="159"/>
      <c r="Z233" s="159"/>
      <c r="AA233" s="159"/>
      <c r="AB233" s="159"/>
      <c r="AC233" s="159"/>
      <c r="AD233" s="159"/>
    </row>
    <row r="234" spans="1:30" s="158" customFormat="1" ht="15.75">
      <c r="A234" s="909"/>
      <c r="B234" s="901" t="s">
        <v>30</v>
      </c>
      <c r="C234" s="901"/>
      <c r="D234" s="163">
        <f t="shared" ref="D234:O234" si="88">SUM(D20+D55+D64+D71+D81+D91+D101+D111+D121+D130+D140+D150+D169+D178+D185+D196+D211+D226+D160)</f>
        <v>269723502</v>
      </c>
      <c r="E234" s="163">
        <f t="shared" si="88"/>
        <v>31359495</v>
      </c>
      <c r="F234" s="163">
        <f t="shared" si="88"/>
        <v>450000</v>
      </c>
      <c r="G234" s="163">
        <f t="shared" si="88"/>
        <v>41529651</v>
      </c>
      <c r="H234" s="163">
        <f t="shared" si="88"/>
        <v>184541469</v>
      </c>
      <c r="I234" s="163">
        <f t="shared" si="88"/>
        <v>0</v>
      </c>
      <c r="J234" s="163">
        <f t="shared" si="88"/>
        <v>0</v>
      </c>
      <c r="K234" s="163">
        <f t="shared" si="88"/>
        <v>0</v>
      </c>
      <c r="L234" s="163">
        <f t="shared" si="88"/>
        <v>0</v>
      </c>
      <c r="M234" s="163">
        <f t="shared" si="88"/>
        <v>28978829</v>
      </c>
      <c r="N234" s="163">
        <f t="shared" si="88"/>
        <v>0</v>
      </c>
      <c r="O234" s="163">
        <f t="shared" si="88"/>
        <v>286859444</v>
      </c>
      <c r="P234" s="163">
        <f>SUM(P20+P55+P64+P71+P81+P91+P101+P111+P121+P130+P140+P150+P169+P178+P185+P196+P211+P226+P160)</f>
        <v>-17135942</v>
      </c>
      <c r="Q234" s="159"/>
      <c r="R234" s="159"/>
      <c r="S234" s="159"/>
      <c r="T234" s="159"/>
      <c r="U234" s="159"/>
      <c r="V234" s="159"/>
      <c r="W234" s="159"/>
      <c r="X234" s="159"/>
      <c r="Y234" s="159"/>
      <c r="Z234" s="159"/>
      <c r="AA234" s="159"/>
      <c r="AB234" s="159"/>
      <c r="AC234" s="159"/>
      <c r="AD234" s="159"/>
    </row>
    <row r="235" spans="1:30" s="158" customFormat="1" ht="15.75">
      <c r="A235" s="909"/>
      <c r="B235" s="932" t="s">
        <v>31</v>
      </c>
      <c r="C235" s="932"/>
      <c r="D235" s="167">
        <f>SUM(D236:D239)</f>
        <v>178051538</v>
      </c>
      <c r="E235" s="167">
        <f>SUM(E236:E239)</f>
        <v>14066</v>
      </c>
      <c r="F235" s="167">
        <f>SUM(F236:F239)</f>
        <v>250000</v>
      </c>
      <c r="G235" s="167">
        <f>SUM(G236:G239)</f>
        <v>66715959</v>
      </c>
      <c r="H235" s="167">
        <f>SUM(H236:H239)</f>
        <v>111325623</v>
      </c>
      <c r="I235" s="167">
        <f t="shared" ref="I235:O235" si="89">SUM(I236:I239)</f>
        <v>242110</v>
      </c>
      <c r="J235" s="167">
        <f t="shared" si="89"/>
        <v>0</v>
      </c>
      <c r="K235" s="167">
        <f t="shared" si="89"/>
        <v>0</v>
      </c>
      <c r="L235" s="167">
        <f t="shared" si="89"/>
        <v>0</v>
      </c>
      <c r="M235" s="167">
        <f t="shared" si="89"/>
        <v>22894504</v>
      </c>
      <c r="N235" s="167">
        <f t="shared" si="89"/>
        <v>0</v>
      </c>
      <c r="O235" s="167">
        <f t="shared" si="89"/>
        <v>201442262</v>
      </c>
      <c r="P235" s="431">
        <f>SUM(P236:P239)</f>
        <v>-23390724</v>
      </c>
      <c r="Q235" s="159"/>
      <c r="R235" s="159"/>
      <c r="S235" s="159"/>
      <c r="T235" s="159"/>
      <c r="U235" s="159"/>
      <c r="V235" s="159"/>
      <c r="W235" s="159"/>
      <c r="X235" s="159"/>
      <c r="Y235" s="159"/>
      <c r="Z235" s="159"/>
      <c r="AA235" s="159"/>
      <c r="AB235" s="159"/>
      <c r="AC235" s="159"/>
      <c r="AD235" s="159"/>
    </row>
    <row r="236" spans="1:30" s="165" customFormat="1" ht="15">
      <c r="A236" s="909"/>
      <c r="B236" s="933" t="s">
        <v>129</v>
      </c>
      <c r="C236" s="933"/>
      <c r="D236" s="170">
        <f>SUM(D47+D104)</f>
        <v>139558085</v>
      </c>
      <c r="E236" s="170">
        <f t="shared" ref="E236:P236" si="90">SUM(E47+E104)</f>
        <v>14066</v>
      </c>
      <c r="F236" s="170">
        <f t="shared" si="90"/>
        <v>250000</v>
      </c>
      <c r="G236" s="170">
        <f t="shared" si="90"/>
        <v>59926994</v>
      </c>
      <c r="H236" s="170">
        <f t="shared" si="90"/>
        <v>80222833</v>
      </c>
      <c r="I236" s="170">
        <f t="shared" si="90"/>
        <v>242110</v>
      </c>
      <c r="J236" s="170">
        <f t="shared" si="90"/>
        <v>0</v>
      </c>
      <c r="K236" s="170">
        <f t="shared" si="90"/>
        <v>0</v>
      </c>
      <c r="L236" s="170">
        <f t="shared" si="90"/>
        <v>0</v>
      </c>
      <c r="M236" s="170">
        <f t="shared" si="90"/>
        <v>20941439</v>
      </c>
      <c r="N236" s="170">
        <f t="shared" si="90"/>
        <v>0</v>
      </c>
      <c r="O236" s="170">
        <f t="shared" si="90"/>
        <v>161597442</v>
      </c>
      <c r="P236" s="432">
        <f t="shared" si="90"/>
        <v>-22039357</v>
      </c>
      <c r="Q236" s="64"/>
      <c r="R236" s="64"/>
      <c r="S236" s="164"/>
      <c r="T236" s="164"/>
      <c r="U236" s="164"/>
      <c r="V236" s="164"/>
      <c r="W236" s="164"/>
      <c r="X236" s="164"/>
      <c r="Y236" s="164"/>
      <c r="Z236" s="164"/>
      <c r="AA236" s="164"/>
      <c r="AB236" s="164"/>
      <c r="AC236" s="164"/>
      <c r="AD236" s="164"/>
    </row>
    <row r="237" spans="1:30" s="165" customFormat="1" ht="15">
      <c r="A237" s="909"/>
      <c r="B237" s="933" t="s">
        <v>32</v>
      </c>
      <c r="C237" s="933"/>
      <c r="D237" s="170">
        <f>SUM(D74)</f>
        <v>10281115</v>
      </c>
      <c r="E237" s="170">
        <f t="shared" ref="E237:P237" si="91">SUM(E74)</f>
        <v>0</v>
      </c>
      <c r="F237" s="170">
        <f t="shared" si="91"/>
        <v>0</v>
      </c>
      <c r="G237" s="170">
        <f t="shared" si="91"/>
        <v>2603349</v>
      </c>
      <c r="H237" s="170">
        <f t="shared" si="91"/>
        <v>7329766</v>
      </c>
      <c r="I237" s="170">
        <f t="shared" si="91"/>
        <v>0</v>
      </c>
      <c r="J237" s="170">
        <f t="shared" si="91"/>
        <v>0</v>
      </c>
      <c r="K237" s="170">
        <f t="shared" si="91"/>
        <v>0</v>
      </c>
      <c r="L237" s="170">
        <f t="shared" si="91"/>
        <v>0</v>
      </c>
      <c r="M237" s="170">
        <f t="shared" si="91"/>
        <v>553316</v>
      </c>
      <c r="N237" s="170">
        <f t="shared" si="91"/>
        <v>0</v>
      </c>
      <c r="O237" s="170">
        <f t="shared" si="91"/>
        <v>10486431</v>
      </c>
      <c r="P237" s="432">
        <f t="shared" si="91"/>
        <v>-205316</v>
      </c>
      <c r="Q237" s="64"/>
      <c r="R237" s="64"/>
      <c r="S237" s="164"/>
      <c r="T237" s="164"/>
      <c r="U237" s="164"/>
      <c r="V237" s="164"/>
      <c r="W237" s="164"/>
      <c r="X237" s="164"/>
      <c r="Y237" s="164"/>
      <c r="Z237" s="164"/>
      <c r="AA237" s="164"/>
      <c r="AB237" s="164"/>
      <c r="AC237" s="164"/>
      <c r="AD237" s="164"/>
    </row>
    <row r="238" spans="1:30" s="165" customFormat="1" ht="15">
      <c r="A238" s="909"/>
      <c r="B238" s="933" t="s">
        <v>1008</v>
      </c>
      <c r="C238" s="933"/>
      <c r="D238" s="170">
        <f>SUM(D114,D124,D133,D84,D94,D67)</f>
        <v>8741707</v>
      </c>
      <c r="E238" s="170">
        <f t="shared" ref="E238:P238" si="92">SUM(E114,E124,E133,E84,E94,E67)</f>
        <v>0</v>
      </c>
      <c r="F238" s="170">
        <f t="shared" si="92"/>
        <v>0</v>
      </c>
      <c r="G238" s="170">
        <f t="shared" si="92"/>
        <v>953677</v>
      </c>
      <c r="H238" s="170">
        <f t="shared" si="92"/>
        <v>7830865</v>
      </c>
      <c r="I238" s="170">
        <f t="shared" si="92"/>
        <v>0</v>
      </c>
      <c r="J238" s="170">
        <f t="shared" si="92"/>
        <v>0</v>
      </c>
      <c r="K238" s="170">
        <f t="shared" si="92"/>
        <v>0</v>
      </c>
      <c r="L238" s="170">
        <f t="shared" si="92"/>
        <v>0</v>
      </c>
      <c r="M238" s="170">
        <f t="shared" si="92"/>
        <v>566894</v>
      </c>
      <c r="N238" s="170">
        <f t="shared" si="92"/>
        <v>0</v>
      </c>
      <c r="O238" s="170">
        <f t="shared" si="92"/>
        <v>9351436</v>
      </c>
      <c r="P238" s="432">
        <f t="shared" si="92"/>
        <v>-609729</v>
      </c>
      <c r="Q238" s="64"/>
      <c r="R238" s="64"/>
      <c r="S238" s="164"/>
      <c r="T238" s="164"/>
      <c r="U238" s="164"/>
      <c r="V238" s="164"/>
      <c r="W238" s="164"/>
      <c r="X238" s="164"/>
      <c r="Y238" s="164"/>
      <c r="Z238" s="164"/>
      <c r="AA238" s="164"/>
      <c r="AB238" s="164"/>
      <c r="AC238" s="164"/>
      <c r="AD238" s="164"/>
    </row>
    <row r="239" spans="1:30" s="165" customFormat="1" ht="15">
      <c r="A239" s="909"/>
      <c r="B239" s="933" t="s">
        <v>50</v>
      </c>
      <c r="C239" s="933"/>
      <c r="D239" s="170">
        <f>SUM(D143,D153,D163,D172,D181,D188,D199,D204,D214,D219,D229,D58)</f>
        <v>19470631</v>
      </c>
      <c r="E239" s="170">
        <f t="shared" ref="E239:P239" si="93">SUM(E143,E153,E163,E172,E181,E188,E199,E204,E214,E219,E229,E58)</f>
        <v>0</v>
      </c>
      <c r="F239" s="170">
        <f t="shared" si="93"/>
        <v>0</v>
      </c>
      <c r="G239" s="170">
        <f t="shared" si="93"/>
        <v>3231939</v>
      </c>
      <c r="H239" s="170">
        <f t="shared" si="93"/>
        <v>15942159</v>
      </c>
      <c r="I239" s="170">
        <f t="shared" si="93"/>
        <v>0</v>
      </c>
      <c r="J239" s="170">
        <f t="shared" si="93"/>
        <v>0</v>
      </c>
      <c r="K239" s="170">
        <f t="shared" si="93"/>
        <v>0</v>
      </c>
      <c r="L239" s="170">
        <f t="shared" si="93"/>
        <v>0</v>
      </c>
      <c r="M239" s="170">
        <f t="shared" si="93"/>
        <v>832855</v>
      </c>
      <c r="N239" s="170">
        <f t="shared" si="93"/>
        <v>0</v>
      </c>
      <c r="O239" s="170">
        <f t="shared" si="93"/>
        <v>20006953</v>
      </c>
      <c r="P239" s="432">
        <f t="shared" si="93"/>
        <v>-536322</v>
      </c>
      <c r="Q239" s="64"/>
      <c r="R239" s="64"/>
      <c r="S239" s="164"/>
      <c r="T239" s="164"/>
      <c r="U239" s="164"/>
      <c r="V239" s="164"/>
      <c r="W239" s="164"/>
      <c r="X239" s="164"/>
      <c r="Y239" s="164"/>
      <c r="Z239" s="164"/>
      <c r="AA239" s="164"/>
      <c r="AB239" s="164"/>
      <c r="AC239" s="164"/>
      <c r="AD239" s="164"/>
    </row>
    <row r="240" spans="1:30" s="46" customFormat="1" ht="14.25">
      <c r="A240" s="909"/>
      <c r="B240" s="931"/>
      <c r="C240" s="895"/>
      <c r="D240" s="895"/>
      <c r="E240" s="895"/>
      <c r="F240" s="895"/>
      <c r="G240" s="895"/>
      <c r="H240" s="895"/>
      <c r="I240" s="895"/>
      <c r="J240" s="895"/>
      <c r="K240" s="895"/>
      <c r="L240" s="895"/>
      <c r="M240" s="895"/>
      <c r="N240" s="895"/>
      <c r="O240" s="895"/>
      <c r="P240" s="929"/>
      <c r="Q240" s="64"/>
      <c r="R240" s="64"/>
    </row>
    <row r="241" spans="1:30" s="165" customFormat="1" ht="15.75">
      <c r="A241" s="910"/>
      <c r="B241" s="902" t="s">
        <v>73</v>
      </c>
      <c r="C241" s="902"/>
      <c r="D241" s="169">
        <f>SUM(D232:D235)</f>
        <v>1033138958</v>
      </c>
      <c r="E241" s="169">
        <f t="shared" ref="E241:P241" si="94">SUM(E232:E235)</f>
        <v>34546345</v>
      </c>
      <c r="F241" s="169">
        <f t="shared" si="94"/>
        <v>1135027</v>
      </c>
      <c r="G241" s="169">
        <f t="shared" si="94"/>
        <v>594721356</v>
      </c>
      <c r="H241" s="169">
        <f t="shared" si="94"/>
        <v>388199158</v>
      </c>
      <c r="I241" s="169">
        <f t="shared" si="94"/>
        <v>242110</v>
      </c>
      <c r="J241" s="169">
        <f t="shared" si="94"/>
        <v>0</v>
      </c>
      <c r="K241" s="169">
        <f t="shared" si="94"/>
        <v>0</v>
      </c>
      <c r="L241" s="169">
        <f t="shared" si="94"/>
        <v>0</v>
      </c>
      <c r="M241" s="169">
        <f t="shared" si="94"/>
        <v>88915099</v>
      </c>
      <c r="N241" s="169">
        <f t="shared" si="94"/>
        <v>0</v>
      </c>
      <c r="O241" s="169">
        <f t="shared" si="94"/>
        <v>1107759095</v>
      </c>
      <c r="P241" s="428">
        <f t="shared" si="94"/>
        <v>-74620137</v>
      </c>
      <c r="Q241" s="164"/>
      <c r="R241" s="164"/>
      <c r="S241" s="164"/>
      <c r="T241" s="164"/>
      <c r="U241" s="164"/>
      <c r="V241" s="164"/>
      <c r="W241" s="164"/>
      <c r="X241" s="164"/>
      <c r="Y241" s="164"/>
      <c r="Z241" s="164"/>
      <c r="AA241" s="164"/>
      <c r="AB241" s="164"/>
      <c r="AC241" s="164"/>
      <c r="AD241" s="164"/>
    </row>
    <row r="242" spans="1:30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</row>
    <row r="243" spans="1:30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</row>
    <row r="244" spans="1:30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</row>
    <row r="245" spans="1:30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</row>
    <row r="246" spans="1:30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</row>
    <row r="247" spans="1:30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</row>
    <row r="248" spans="1:30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</row>
    <row r="249" spans="1:30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</row>
    <row r="250" spans="1:30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</row>
    <row r="251" spans="1:30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</row>
    <row r="252" spans="1:30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</row>
    <row r="253" spans="1:30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</row>
    <row r="254" spans="1:30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</row>
    <row r="255" spans="1:30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</row>
    <row r="256" spans="1:30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</row>
    <row r="257" spans="1:16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</row>
    <row r="258" spans="1:16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</row>
    <row r="259" spans="1:16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</row>
    <row r="260" spans="1:16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</row>
    <row r="261" spans="1:16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</row>
    <row r="262" spans="1:16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</row>
    <row r="263" spans="1:16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</row>
    <row r="264" spans="1:16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</row>
    <row r="265" spans="1:16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</row>
    <row r="266" spans="1:16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</row>
  </sheetData>
  <mergeCells count="130">
    <mergeCell ref="B240:P240"/>
    <mergeCell ref="B241:C241"/>
    <mergeCell ref="A231:P231"/>
    <mergeCell ref="A232:A241"/>
    <mergeCell ref="B232:C232"/>
    <mergeCell ref="B233:C233"/>
    <mergeCell ref="B234:C234"/>
    <mergeCell ref="B235:C235"/>
    <mergeCell ref="B236:C236"/>
    <mergeCell ref="B237:C237"/>
    <mergeCell ref="B238:C238"/>
    <mergeCell ref="B239:C239"/>
    <mergeCell ref="A216:P216"/>
    <mergeCell ref="A217:A220"/>
    <mergeCell ref="B219:C219"/>
    <mergeCell ref="B220:C220"/>
    <mergeCell ref="A221:P221"/>
    <mergeCell ref="A222:A230"/>
    <mergeCell ref="B226:C226"/>
    <mergeCell ref="B229:C229"/>
    <mergeCell ref="B230:C230"/>
    <mergeCell ref="A201:P201"/>
    <mergeCell ref="A202:A205"/>
    <mergeCell ref="B204:C204"/>
    <mergeCell ref="B205:C205"/>
    <mergeCell ref="A206:P206"/>
    <mergeCell ref="A207:A215"/>
    <mergeCell ref="B211:C211"/>
    <mergeCell ref="B214:C214"/>
    <mergeCell ref="B215:C215"/>
    <mergeCell ref="A184:A189"/>
    <mergeCell ref="B185:C185"/>
    <mergeCell ref="B188:C188"/>
    <mergeCell ref="B189:C189"/>
    <mergeCell ref="A190:P190"/>
    <mergeCell ref="A191:A200"/>
    <mergeCell ref="B196:C196"/>
    <mergeCell ref="B199:C199"/>
    <mergeCell ref="B200:C200"/>
    <mergeCell ref="A174:P174"/>
    <mergeCell ref="A175:A182"/>
    <mergeCell ref="B178:C178"/>
    <mergeCell ref="B181:C181"/>
    <mergeCell ref="B182:C182"/>
    <mergeCell ref="A183:P183"/>
    <mergeCell ref="A156:A164"/>
    <mergeCell ref="B160:C160"/>
    <mergeCell ref="B163:C163"/>
    <mergeCell ref="B164:C164"/>
    <mergeCell ref="A165:P165"/>
    <mergeCell ref="A166:A173"/>
    <mergeCell ref="B169:C169"/>
    <mergeCell ref="B172:C172"/>
    <mergeCell ref="B173:C173"/>
    <mergeCell ref="A145:P145"/>
    <mergeCell ref="A146:A154"/>
    <mergeCell ref="B150:C150"/>
    <mergeCell ref="B153:C153"/>
    <mergeCell ref="B154:C154"/>
    <mergeCell ref="A155:P155"/>
    <mergeCell ref="A127:A134"/>
    <mergeCell ref="B130:C130"/>
    <mergeCell ref="B133:C133"/>
    <mergeCell ref="B134:C134"/>
    <mergeCell ref="A135:P135"/>
    <mergeCell ref="A136:A144"/>
    <mergeCell ref="B140:C140"/>
    <mergeCell ref="B143:C143"/>
    <mergeCell ref="B144:C144"/>
    <mergeCell ref="A116:P116"/>
    <mergeCell ref="A117:A125"/>
    <mergeCell ref="B121:C121"/>
    <mergeCell ref="B124:C124"/>
    <mergeCell ref="B125:C125"/>
    <mergeCell ref="A126:P126"/>
    <mergeCell ref="A97:A105"/>
    <mergeCell ref="B101:C101"/>
    <mergeCell ref="B104:C104"/>
    <mergeCell ref="B105:C105"/>
    <mergeCell ref="A106:P106"/>
    <mergeCell ref="A108:A115"/>
    <mergeCell ref="B111:C111"/>
    <mergeCell ref="B114:C114"/>
    <mergeCell ref="B115:C115"/>
    <mergeCell ref="A86:P86"/>
    <mergeCell ref="A87:A95"/>
    <mergeCell ref="B91:C91"/>
    <mergeCell ref="B94:C94"/>
    <mergeCell ref="B95:C95"/>
    <mergeCell ref="A96:P96"/>
    <mergeCell ref="A70:A75"/>
    <mergeCell ref="B71:C71"/>
    <mergeCell ref="B74:C74"/>
    <mergeCell ref="B75:C75"/>
    <mergeCell ref="A76:P76"/>
    <mergeCell ref="A77:A85"/>
    <mergeCell ref="B81:C81"/>
    <mergeCell ref="B84:C84"/>
    <mergeCell ref="B85:C85"/>
    <mergeCell ref="A50:P51"/>
    <mergeCell ref="A52:A59"/>
    <mergeCell ref="B55:C55"/>
    <mergeCell ref="B58:C58"/>
    <mergeCell ref="B59:C59"/>
    <mergeCell ref="A61:A68"/>
    <mergeCell ref="B64:C64"/>
    <mergeCell ref="B67:C67"/>
    <mergeCell ref="B68:C68"/>
    <mergeCell ref="A5:A49"/>
    <mergeCell ref="B11:C11"/>
    <mergeCell ref="B20:C20"/>
    <mergeCell ref="B40:C40"/>
    <mergeCell ref="B48:P48"/>
    <mergeCell ref="B49:C49"/>
    <mergeCell ref="K3:K4"/>
    <mergeCell ref="L3:L4"/>
    <mergeCell ref="M3:M4"/>
    <mergeCell ref="N3:N4"/>
    <mergeCell ref="O3:O4"/>
    <mergeCell ref="P3:P4"/>
    <mergeCell ref="A1:P1"/>
    <mergeCell ref="A3:A4"/>
    <mergeCell ref="B3:C3"/>
    <mergeCell ref="D3:D4"/>
    <mergeCell ref="E3:E4"/>
    <mergeCell ref="F3:F4"/>
    <mergeCell ref="G3:G4"/>
    <mergeCell ref="H3:H4"/>
    <mergeCell ref="I3:I4"/>
    <mergeCell ref="J3:J4"/>
  </mergeCells>
  <pageMargins left="0.19" right="0.18" top="0.56999999999999995" bottom="0.46" header="0.28999999999999998" footer="0.32"/>
  <pageSetup paperSize="9" scale="49" orientation="landscape" r:id="rId1"/>
  <headerFooter alignWithMargins="0">
    <oddHeader>&amp;R12/a. számú melléklet</oddHeader>
  </headerFooter>
  <rowBreaks count="3" manualBreakCount="3">
    <brk id="68" max="15" man="1"/>
    <brk id="135" max="16" man="1"/>
    <brk id="201" max="16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33">
    <tabColor rgb="FFFF0000"/>
  </sheetPr>
  <dimension ref="A1:AC56"/>
  <sheetViews>
    <sheetView workbookViewId="0">
      <selection activeCell="F8" sqref="F8"/>
    </sheetView>
  </sheetViews>
  <sheetFormatPr defaultRowHeight="12.75"/>
  <cols>
    <col min="1" max="1" width="17.7109375" style="21" customWidth="1"/>
    <col min="2" max="2" width="22.85546875" style="21" customWidth="1"/>
    <col min="3" max="3" width="40.140625" style="21" bestFit="1" customWidth="1"/>
    <col min="4" max="4" width="17.7109375" style="21" customWidth="1"/>
    <col min="5" max="5" width="16.140625" style="21" bestFit="1" customWidth="1"/>
    <col min="6" max="6" width="14.7109375" style="21" bestFit="1" customWidth="1"/>
    <col min="7" max="7" width="14.7109375" style="21" customWidth="1"/>
    <col min="8" max="8" width="14.7109375" style="21" bestFit="1" customWidth="1"/>
    <col min="9" max="9" width="16.140625" style="21" bestFit="1" customWidth="1"/>
    <col min="10" max="10" width="13.5703125" style="21" customWidth="1"/>
    <col min="11" max="11" width="12" style="21" customWidth="1"/>
    <col min="12" max="12" width="14.7109375" style="21" bestFit="1" customWidth="1"/>
    <col min="13" max="13" width="11" style="21" customWidth="1"/>
    <col min="14" max="14" width="16.140625" style="21" bestFit="1" customWidth="1"/>
    <col min="15" max="15" width="15.42578125" style="21" bestFit="1" customWidth="1"/>
    <col min="16" max="16" width="9.28515625" style="46" bestFit="1" customWidth="1"/>
    <col min="17" max="29" width="9.140625" style="46" customWidth="1"/>
  </cols>
  <sheetData>
    <row r="1" spans="1:29" s="20" customFormat="1" ht="39" customHeight="1">
      <c r="A1" s="905" t="s">
        <v>847</v>
      </c>
      <c r="B1" s="905"/>
      <c r="C1" s="905"/>
      <c r="D1" s="905"/>
      <c r="E1" s="905"/>
      <c r="F1" s="905"/>
      <c r="G1" s="905"/>
      <c r="H1" s="905"/>
      <c r="I1" s="905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</row>
    <row r="2" spans="1:29" s="46" customForma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</row>
    <row r="3" spans="1:29" ht="54" customHeight="1">
      <c r="A3" s="335" t="s">
        <v>201</v>
      </c>
      <c r="B3" s="336" t="s">
        <v>53</v>
      </c>
      <c r="C3" s="337" t="s">
        <v>544</v>
      </c>
      <c r="D3" s="337" t="s">
        <v>490</v>
      </c>
      <c r="E3" s="337" t="s">
        <v>449</v>
      </c>
      <c r="F3" s="338" t="s">
        <v>545</v>
      </c>
      <c r="G3" s="338" t="s">
        <v>546</v>
      </c>
      <c r="H3" s="338" t="s">
        <v>547</v>
      </c>
      <c r="I3" s="338" t="s">
        <v>548</v>
      </c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1:29">
      <c r="A4" s="934" t="s">
        <v>79</v>
      </c>
      <c r="B4" s="339" t="s">
        <v>60</v>
      </c>
      <c r="C4" s="340"/>
      <c r="D4" s="340"/>
      <c r="E4" s="340"/>
      <c r="F4" s="340"/>
      <c r="G4" s="340"/>
      <c r="H4" s="340"/>
      <c r="I4" s="340">
        <f>(C4+D4+E4+F4+G4)-H4</f>
        <v>0</v>
      </c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>
      <c r="A5" s="935"/>
      <c r="B5" s="339" t="s">
        <v>58</v>
      </c>
      <c r="C5" s="340"/>
      <c r="D5" s="340"/>
      <c r="E5" s="340"/>
      <c r="F5" s="340"/>
      <c r="G5" s="340"/>
      <c r="H5" s="340"/>
      <c r="I5" s="340">
        <f>(C5+D5+E5+F5+G5)-H5</f>
        <v>0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>
      <c r="A6" s="935"/>
      <c r="B6" s="339" t="s">
        <v>549</v>
      </c>
      <c r="C6" s="340"/>
      <c r="D6" s="340"/>
      <c r="E6" s="340"/>
      <c r="F6" s="340"/>
      <c r="G6" s="340"/>
      <c r="H6" s="340"/>
      <c r="I6" s="340">
        <f>(C6+D6+E6+F6+G6)-H6</f>
        <v>0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>
      <c r="A7" s="935"/>
      <c r="B7" s="339" t="s">
        <v>70</v>
      </c>
      <c r="C7" s="340"/>
      <c r="D7" s="340"/>
      <c r="E7" s="340"/>
      <c r="F7" s="340"/>
      <c r="G7" s="340"/>
      <c r="H7" s="340"/>
      <c r="I7" s="340">
        <f>(C7+D7+E7+F7+G7)-H7</f>
        <v>0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>
      <c r="A8" s="935"/>
      <c r="B8" s="339" t="s">
        <v>56</v>
      </c>
      <c r="C8" s="340"/>
      <c r="D8" s="340"/>
      <c r="E8" s="340"/>
      <c r="F8" s="340"/>
      <c r="G8" s="340"/>
      <c r="H8" s="340"/>
      <c r="I8" s="340">
        <f>(C8+D8+E8+F8+G8)-H8</f>
        <v>0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>
      <c r="A9" s="936"/>
      <c r="B9" s="341" t="s">
        <v>550</v>
      </c>
      <c r="C9" s="342">
        <f t="shared" ref="C9:I9" si="0">SUM(C4:C8)</f>
        <v>0</v>
      </c>
      <c r="D9" s="343">
        <f t="shared" si="0"/>
        <v>0</v>
      </c>
      <c r="E9" s="343">
        <f t="shared" si="0"/>
        <v>0</v>
      </c>
      <c r="F9" s="343">
        <f t="shared" si="0"/>
        <v>0</v>
      </c>
      <c r="G9" s="343">
        <f t="shared" si="0"/>
        <v>0</v>
      </c>
      <c r="H9" s="343">
        <f t="shared" si="0"/>
        <v>0</v>
      </c>
      <c r="I9" s="343">
        <f t="shared" si="0"/>
        <v>0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>
      <c r="A10" s="934" t="s">
        <v>80</v>
      </c>
      <c r="B10" s="344" t="s">
        <v>60</v>
      </c>
      <c r="C10" s="71"/>
      <c r="D10" s="71"/>
      <c r="E10" s="71"/>
      <c r="F10" s="71"/>
      <c r="G10" s="340"/>
      <c r="H10" s="340"/>
      <c r="I10" s="340">
        <f>(C10+D10+E10+F10+G10)-H10</f>
        <v>0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>
      <c r="A11" s="935"/>
      <c r="B11" s="344" t="s">
        <v>56</v>
      </c>
      <c r="C11" s="71"/>
      <c r="D11" s="71"/>
      <c r="E11" s="71"/>
      <c r="F11" s="71"/>
      <c r="G11" s="340"/>
      <c r="H11" s="340"/>
      <c r="I11" s="340">
        <f t="shared" ref="I11:I26" si="1">(C11+D11+E11+F11+G11)-H11</f>
        <v>0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>
      <c r="A12" s="935"/>
      <c r="B12" s="344" t="s">
        <v>65</v>
      </c>
      <c r="C12" s="71"/>
      <c r="D12" s="71"/>
      <c r="E12" s="71"/>
      <c r="F12" s="71"/>
      <c r="G12" s="340"/>
      <c r="H12" s="340"/>
      <c r="I12" s="340">
        <f t="shared" si="1"/>
        <v>0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>
      <c r="A13" s="935"/>
      <c r="B13" s="344" t="s">
        <v>68</v>
      </c>
      <c r="C13" s="71"/>
      <c r="D13" s="71"/>
      <c r="E13" s="71"/>
      <c r="F13" s="71"/>
      <c r="G13" s="340"/>
      <c r="H13" s="340"/>
      <c r="I13" s="340">
        <f t="shared" si="1"/>
        <v>0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>
      <c r="A14" s="935"/>
      <c r="B14" s="344" t="s">
        <v>61</v>
      </c>
      <c r="C14" s="71"/>
      <c r="D14" s="71"/>
      <c r="E14" s="71"/>
      <c r="F14" s="71"/>
      <c r="G14" s="340"/>
      <c r="H14" s="340"/>
      <c r="I14" s="340">
        <f t="shared" si="1"/>
        <v>0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>
      <c r="A15" s="935"/>
      <c r="B15" s="344" t="s">
        <v>70</v>
      </c>
      <c r="C15" s="71"/>
      <c r="D15" s="71"/>
      <c r="E15" s="71"/>
      <c r="F15" s="71"/>
      <c r="G15" s="340"/>
      <c r="H15" s="340"/>
      <c r="I15" s="340">
        <f t="shared" si="1"/>
        <v>0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>
      <c r="A16" s="935"/>
      <c r="B16" s="344" t="s">
        <v>62</v>
      </c>
      <c r="C16" s="71"/>
      <c r="D16" s="71"/>
      <c r="E16" s="71"/>
      <c r="F16" s="71"/>
      <c r="G16" s="340"/>
      <c r="H16" s="340"/>
      <c r="I16" s="340">
        <f t="shared" si="1"/>
        <v>0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>
      <c r="A17" s="935"/>
      <c r="B17" s="344" t="s">
        <v>63</v>
      </c>
      <c r="C17" s="71"/>
      <c r="D17" s="71"/>
      <c r="E17" s="71"/>
      <c r="F17" s="71"/>
      <c r="G17" s="340"/>
      <c r="H17" s="340"/>
      <c r="I17" s="340">
        <f t="shared" si="1"/>
        <v>0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>
      <c r="A18" s="935"/>
      <c r="B18" s="344" t="s">
        <v>72</v>
      </c>
      <c r="C18" s="71"/>
      <c r="D18" s="71"/>
      <c r="E18" s="71"/>
      <c r="F18" s="71"/>
      <c r="G18" s="340"/>
      <c r="H18" s="340"/>
      <c r="I18" s="340">
        <f t="shared" si="1"/>
        <v>0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>
      <c r="A19" s="935"/>
      <c r="B19" s="344" t="s">
        <v>249</v>
      </c>
      <c r="C19" s="71"/>
      <c r="D19" s="71"/>
      <c r="E19" s="71"/>
      <c r="F19" s="71"/>
      <c r="G19" s="340"/>
      <c r="H19" s="340"/>
      <c r="I19" s="340">
        <f t="shared" si="1"/>
        <v>0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>
      <c r="A20" s="935"/>
      <c r="B20" s="344" t="s">
        <v>55</v>
      </c>
      <c r="C20" s="71"/>
      <c r="D20" s="71"/>
      <c r="E20" s="71"/>
      <c r="F20" s="71"/>
      <c r="G20" s="340"/>
      <c r="H20" s="340"/>
      <c r="I20" s="340">
        <f t="shared" si="1"/>
        <v>0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>
      <c r="A21" s="935"/>
      <c r="B21" s="344" t="s">
        <v>57</v>
      </c>
      <c r="C21" s="71"/>
      <c r="D21" s="71"/>
      <c r="E21" s="71"/>
      <c r="F21" s="71"/>
      <c r="G21" s="340"/>
      <c r="H21" s="340"/>
      <c r="I21" s="340">
        <f t="shared" si="1"/>
        <v>0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>
      <c r="A22" s="935"/>
      <c r="B22" s="344" t="s">
        <v>192</v>
      </c>
      <c r="C22" s="71"/>
      <c r="D22" s="71"/>
      <c r="E22" s="71"/>
      <c r="F22" s="71"/>
      <c r="G22" s="340"/>
      <c r="H22" s="340"/>
      <c r="I22" s="340">
        <f t="shared" si="1"/>
        <v>0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>
      <c r="A23" s="935"/>
      <c r="B23" s="344" t="s">
        <v>549</v>
      </c>
      <c r="C23" s="71"/>
      <c r="D23" s="71"/>
      <c r="E23" s="71"/>
      <c r="F23" s="71"/>
      <c r="G23" s="340"/>
      <c r="H23" s="340"/>
      <c r="I23" s="340">
        <f t="shared" si="1"/>
        <v>0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>
      <c r="A24" s="935"/>
      <c r="B24" s="344" t="s">
        <v>67</v>
      </c>
      <c r="C24" s="71"/>
      <c r="D24" s="71"/>
      <c r="E24" s="71"/>
      <c r="F24" s="71"/>
      <c r="G24" s="340"/>
      <c r="H24" s="340"/>
      <c r="I24" s="340">
        <f t="shared" si="1"/>
        <v>0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1:29">
      <c r="A25" s="935"/>
      <c r="B25" s="344" t="s">
        <v>251</v>
      </c>
      <c r="C25" s="71"/>
      <c r="D25" s="71"/>
      <c r="E25" s="71"/>
      <c r="F25" s="71"/>
      <c r="G25" s="340"/>
      <c r="H25" s="340"/>
      <c r="I25" s="340">
        <f t="shared" si="1"/>
        <v>0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>
      <c r="A26" s="935"/>
      <c r="B26" s="344" t="s">
        <v>66</v>
      </c>
      <c r="C26" s="71"/>
      <c r="D26" s="71"/>
      <c r="E26" s="345"/>
      <c r="F26" s="345"/>
      <c r="G26" s="340"/>
      <c r="H26" s="346"/>
      <c r="I26" s="340">
        <f t="shared" si="1"/>
        <v>0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>
      <c r="A27" s="936"/>
      <c r="B27" s="341" t="s">
        <v>550</v>
      </c>
      <c r="C27" s="342">
        <f t="shared" ref="C27:I27" si="2">SUM(C10:C26)</f>
        <v>0</v>
      </c>
      <c r="D27" s="342">
        <f t="shared" si="2"/>
        <v>0</v>
      </c>
      <c r="E27" s="342">
        <f t="shared" si="2"/>
        <v>0</v>
      </c>
      <c r="F27" s="342">
        <f t="shared" si="2"/>
        <v>0</v>
      </c>
      <c r="G27" s="342">
        <f t="shared" si="2"/>
        <v>0</v>
      </c>
      <c r="H27" s="342">
        <f t="shared" si="2"/>
        <v>0</v>
      </c>
      <c r="I27" s="343">
        <f t="shared" si="2"/>
        <v>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>
      <c r="A28" s="937" t="s">
        <v>26</v>
      </c>
      <c r="B28" s="344" t="s">
        <v>60</v>
      </c>
      <c r="C28" s="71"/>
      <c r="D28" s="340"/>
      <c r="E28" s="340"/>
      <c r="F28" s="340"/>
      <c r="G28" s="340"/>
      <c r="H28" s="340"/>
      <c r="I28" s="346">
        <f>(C28+D28+E28+F28+G28)-H28</f>
        <v>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>
      <c r="A29" s="936"/>
      <c r="B29" s="341" t="s">
        <v>550</v>
      </c>
      <c r="C29" s="342">
        <f>SUM(C28)</f>
        <v>0</v>
      </c>
      <c r="D29" s="343">
        <f>SUM(D28)</f>
        <v>0</v>
      </c>
      <c r="E29" s="343">
        <f>SUM(E28)</f>
        <v>0</v>
      </c>
      <c r="F29" s="343">
        <v>0</v>
      </c>
      <c r="G29" s="343">
        <f>SUM(G28)</f>
        <v>0</v>
      </c>
      <c r="H29" s="343">
        <f>SUM(H28)</f>
        <v>0</v>
      </c>
      <c r="I29" s="343">
        <f>SUM(I28)</f>
        <v>0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>
      <c r="A30" s="85" t="s">
        <v>551</v>
      </c>
      <c r="B30" s="347"/>
      <c r="C30" s="348"/>
      <c r="D30" s="348"/>
      <c r="E30" s="348"/>
      <c r="F30" s="348"/>
      <c r="G30" s="348"/>
      <c r="H30" s="348"/>
      <c r="I30" s="349">
        <f>(C30+D30+E30+F30+G30)-H30</f>
        <v>0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>
      <c r="A31" s="938">
        <f>SUM(I29,I27,I9,I30)</f>
        <v>0</v>
      </c>
      <c r="B31" s="939"/>
      <c r="C31" s="939"/>
      <c r="D31" s="939"/>
      <c r="E31" s="939"/>
      <c r="F31" s="939"/>
      <c r="G31" s="939"/>
      <c r="H31" s="939"/>
      <c r="I31" s="940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</row>
    <row r="33" spans="1:15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</row>
    <row r="34" spans="1:15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</row>
    <row r="35" spans="1:15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</row>
    <row r="36" spans="1:15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</row>
    <row r="37" spans="1:15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</row>
    <row r="38" spans="1:15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</row>
    <row r="39" spans="1:15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</row>
    <row r="40" spans="1:15" s="46" customFormat="1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</row>
    <row r="41" spans="1:15" s="46" customFormat="1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</row>
    <row r="42" spans="1:15" s="46" customFormat="1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</row>
    <row r="43" spans="1:15" s="46" customFormat="1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</row>
    <row r="44" spans="1:15" s="46" customFormat="1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</row>
    <row r="45" spans="1:15" s="46" customFormat="1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</row>
    <row r="46" spans="1:15" s="46" customFormat="1">
      <c r="A46" s="134"/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</row>
    <row r="47" spans="1:15" s="46" customFormat="1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</row>
    <row r="48" spans="1:15" s="46" customFormat="1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</row>
    <row r="49" spans="1:15" s="46" customFormat="1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</row>
    <row r="50" spans="1:15" s="46" customFormat="1">
      <c r="A50" s="134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</row>
    <row r="51" spans="1:15" s="46" customFormat="1">
      <c r="A51" s="134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</row>
    <row r="52" spans="1:15" s="46" customFormat="1">
      <c r="A52" s="134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</row>
    <row r="53" spans="1:15" s="46" customFormat="1">
      <c r="A53" s="134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</row>
    <row r="54" spans="1:15" s="46" customFormat="1">
      <c r="A54" s="134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</row>
    <row r="55" spans="1:15" s="46" customFormat="1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</row>
    <row r="56" spans="1:15" s="46" customFormat="1">
      <c r="A56" s="134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</row>
  </sheetData>
  <mergeCells count="5">
    <mergeCell ref="A1:I1"/>
    <mergeCell ref="A4:A9"/>
    <mergeCell ref="A10:A27"/>
    <mergeCell ref="A28:A29"/>
    <mergeCell ref="A31:I31"/>
  </mergeCells>
  <pageMargins left="0.19685039370078741" right="0.19685039370078741" top="0.55118110236220474" bottom="0.47244094488188981" header="0.27559055118110237" footer="0.31496062992125984"/>
  <pageSetup paperSize="9" scale="80" orientation="landscape" r:id="rId1"/>
  <headerFooter alignWithMargins="0">
    <oddHeader>&amp;R12/b. számú melléklet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4" tint="0.59999389629810485"/>
  </sheetPr>
  <dimension ref="A1:AM86"/>
  <sheetViews>
    <sheetView zoomScaleNormal="100" workbookViewId="0">
      <selection activeCell="H18" sqref="H18"/>
    </sheetView>
  </sheetViews>
  <sheetFormatPr defaultColWidth="9.140625" defaultRowHeight="12.75"/>
  <cols>
    <col min="1" max="1" width="4.5703125" style="518" customWidth="1"/>
    <col min="2" max="2" width="19.85546875" style="518" customWidth="1"/>
    <col min="3" max="4" width="12.7109375" style="518" bestFit="1" customWidth="1"/>
    <col min="5" max="5" width="12.42578125" style="518" customWidth="1"/>
    <col min="6" max="6" width="9.85546875" style="518" customWidth="1"/>
    <col min="7" max="9" width="11.140625" style="518" bestFit="1" customWidth="1"/>
    <col min="10" max="10" width="7.42578125" style="518" customWidth="1"/>
    <col min="11" max="13" width="11.140625" style="518" bestFit="1" customWidth="1"/>
    <col min="14" max="14" width="7.5703125" style="518" customWidth="1"/>
    <col min="15" max="17" width="11.140625" style="518" bestFit="1" customWidth="1"/>
    <col min="18" max="18" width="13.7109375" style="518" bestFit="1" customWidth="1"/>
    <col min="19" max="19" width="7.5703125" style="517" customWidth="1"/>
    <col min="20" max="20" width="7.140625" style="517" customWidth="1"/>
    <col min="21" max="21" width="6.28515625" style="517" customWidth="1"/>
    <col min="22" max="39" width="9.140625" style="517"/>
    <col min="40" max="16384" width="9.140625" style="518"/>
  </cols>
  <sheetData>
    <row r="1" spans="1:39">
      <c r="A1" s="942" t="s">
        <v>1041</v>
      </c>
      <c r="B1" s="942"/>
      <c r="C1" s="942"/>
      <c r="D1" s="942"/>
      <c r="E1" s="942"/>
      <c r="F1" s="942"/>
      <c r="G1" s="942"/>
      <c r="H1" s="942"/>
      <c r="I1" s="942"/>
      <c r="J1" s="942"/>
      <c r="K1" s="942"/>
      <c r="L1" s="942"/>
      <c r="M1" s="942"/>
      <c r="N1" s="942"/>
      <c r="O1" s="942"/>
      <c r="P1" s="942"/>
      <c r="Q1" s="942"/>
      <c r="R1" s="942"/>
    </row>
    <row r="2" spans="1:39">
      <c r="A2" s="943" t="s">
        <v>1097</v>
      </c>
      <c r="B2" s="943"/>
      <c r="C2" s="943"/>
      <c r="D2" s="943"/>
      <c r="E2" s="943"/>
      <c r="F2" s="943"/>
      <c r="G2" s="943"/>
      <c r="H2" s="943"/>
      <c r="I2" s="943"/>
      <c r="J2" s="943"/>
      <c r="K2" s="943"/>
      <c r="L2" s="943"/>
      <c r="M2" s="943"/>
      <c r="N2" s="943"/>
      <c r="O2" s="943"/>
      <c r="P2" s="943"/>
      <c r="Q2" s="943"/>
      <c r="R2" s="943"/>
    </row>
    <row r="3" spans="1:39">
      <c r="A3" s="519"/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19"/>
    </row>
    <row r="4" spans="1:39">
      <c r="A4" s="519"/>
      <c r="B4" s="519"/>
      <c r="C4" s="519"/>
      <c r="D4" s="519"/>
      <c r="E4" s="519"/>
      <c r="F4" s="519"/>
      <c r="G4" s="519"/>
      <c r="H4" s="519"/>
      <c r="I4" s="519"/>
      <c r="J4" s="519"/>
      <c r="K4" s="519"/>
      <c r="N4" s="519"/>
      <c r="O4" s="519"/>
      <c r="Q4" s="944" t="s">
        <v>238</v>
      </c>
      <c r="R4" s="945"/>
    </row>
    <row r="5" spans="1:39">
      <c r="A5" s="517"/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</row>
    <row r="6" spans="1:39" ht="12.75" customHeight="1">
      <c r="A6" s="946" t="s">
        <v>20</v>
      </c>
      <c r="B6" s="947" t="s">
        <v>201</v>
      </c>
      <c r="C6" s="948" t="s">
        <v>155</v>
      </c>
      <c r="D6" s="948"/>
      <c r="E6" s="948"/>
      <c r="F6" s="948"/>
      <c r="G6" s="941" t="s">
        <v>202</v>
      </c>
      <c r="H6" s="941"/>
      <c r="I6" s="941"/>
      <c r="J6" s="941"/>
      <c r="K6" s="948" t="s">
        <v>157</v>
      </c>
      <c r="L6" s="948"/>
      <c r="M6" s="948"/>
      <c r="N6" s="948"/>
      <c r="O6" s="941" t="s">
        <v>436</v>
      </c>
      <c r="P6" s="941"/>
      <c r="Q6" s="941"/>
      <c r="R6" s="941"/>
      <c r="S6" s="520"/>
      <c r="T6" s="520"/>
      <c r="U6" s="520"/>
    </row>
    <row r="7" spans="1:39" ht="24" customHeight="1">
      <c r="A7" s="946"/>
      <c r="B7" s="947"/>
      <c r="C7" s="514" t="s">
        <v>203</v>
      </c>
      <c r="D7" s="514" t="s">
        <v>204</v>
      </c>
      <c r="E7" s="514" t="s">
        <v>205</v>
      </c>
      <c r="F7" s="514" t="s">
        <v>206</v>
      </c>
      <c r="G7" s="203" t="s">
        <v>171</v>
      </c>
      <c r="H7" s="203" t="s">
        <v>135</v>
      </c>
      <c r="I7" s="203" t="s">
        <v>205</v>
      </c>
      <c r="J7" s="203" t="s">
        <v>206</v>
      </c>
      <c r="K7" s="514" t="s">
        <v>171</v>
      </c>
      <c r="L7" s="514" t="s">
        <v>135</v>
      </c>
      <c r="M7" s="514" t="s">
        <v>205</v>
      </c>
      <c r="N7" s="514" t="s">
        <v>206</v>
      </c>
      <c r="O7" s="203" t="s">
        <v>171</v>
      </c>
      <c r="P7" s="203" t="s">
        <v>135</v>
      </c>
      <c r="Q7" s="203" t="s">
        <v>205</v>
      </c>
      <c r="R7" s="203" t="s">
        <v>206</v>
      </c>
      <c r="S7" s="521"/>
      <c r="T7" s="521"/>
      <c r="U7" s="521"/>
    </row>
    <row r="8" spans="1:39">
      <c r="A8" s="204" t="s">
        <v>141</v>
      </c>
      <c r="B8" s="3" t="s">
        <v>25</v>
      </c>
      <c r="C8" s="5">
        <v>1317000</v>
      </c>
      <c r="D8" s="5">
        <v>4285584</v>
      </c>
      <c r="E8" s="5">
        <v>4285584</v>
      </c>
      <c r="F8" s="205">
        <f>ROUND(E8/D8*100,2)</f>
        <v>100</v>
      </c>
      <c r="G8" s="5">
        <v>31500</v>
      </c>
      <c r="H8" s="5">
        <v>471520</v>
      </c>
      <c r="I8" s="5">
        <v>471520</v>
      </c>
      <c r="J8" s="644">
        <f>ROUND(I8/H8*100,2)</f>
        <v>100</v>
      </c>
      <c r="K8" s="5">
        <v>46839628</v>
      </c>
      <c r="L8" s="5">
        <v>40452958</v>
      </c>
      <c r="M8" s="5">
        <v>23167251</v>
      </c>
      <c r="N8" s="205">
        <f>ROUND(M8/L8*100,2)</f>
        <v>57.27</v>
      </c>
      <c r="O8" s="5">
        <v>53255565</v>
      </c>
      <c r="P8" s="5">
        <v>66413932</v>
      </c>
      <c r="Q8" s="5">
        <v>66413932</v>
      </c>
      <c r="R8" s="205">
        <f>ROUND(Q8/P8*100,2)</f>
        <v>100</v>
      </c>
      <c r="S8" s="522"/>
      <c r="T8" s="522"/>
      <c r="U8" s="523"/>
    </row>
    <row r="9" spans="1:39">
      <c r="A9" s="204" t="s">
        <v>142</v>
      </c>
      <c r="B9" s="3" t="s">
        <v>207</v>
      </c>
      <c r="C9" s="5">
        <v>215380852</v>
      </c>
      <c r="D9" s="5">
        <v>205048832</v>
      </c>
      <c r="E9" s="5">
        <v>192226781</v>
      </c>
      <c r="F9" s="205">
        <f>ROUND(E9/D9*100,2)</f>
        <v>93.75</v>
      </c>
      <c r="G9" s="5">
        <v>32816915</v>
      </c>
      <c r="H9" s="5">
        <v>31456790</v>
      </c>
      <c r="I9" s="5">
        <v>29231986</v>
      </c>
      <c r="J9" s="644">
        <f>ROUND(I9/H9*100,2)</f>
        <v>92.93</v>
      </c>
      <c r="K9" s="5">
        <v>46388250</v>
      </c>
      <c r="L9" s="5">
        <v>49903822</v>
      </c>
      <c r="M9" s="5">
        <v>47814738</v>
      </c>
      <c r="N9" s="205">
        <f>ROUND(M9/L9*100,2)</f>
        <v>95.81</v>
      </c>
      <c r="O9" s="5"/>
      <c r="P9" s="5"/>
      <c r="Q9" s="5"/>
      <c r="R9" s="205"/>
      <c r="S9" s="522"/>
      <c r="T9" s="522"/>
      <c r="U9" s="523"/>
    </row>
    <row r="10" spans="1:39">
      <c r="A10" s="204" t="s">
        <v>143</v>
      </c>
      <c r="B10" s="3" t="s">
        <v>208</v>
      </c>
      <c r="C10" s="5">
        <v>144678797</v>
      </c>
      <c r="D10" s="5">
        <v>142674954</v>
      </c>
      <c r="E10" s="5">
        <v>134901139</v>
      </c>
      <c r="F10" s="205">
        <f>ROUND(E10/D10*100,2)</f>
        <v>94.55</v>
      </c>
      <c r="G10" s="5">
        <v>22983364</v>
      </c>
      <c r="H10" s="5">
        <v>26583201</v>
      </c>
      <c r="I10" s="5">
        <v>25499298</v>
      </c>
      <c r="J10" s="644">
        <f>ROUND(I10/H10*100,2)</f>
        <v>95.92</v>
      </c>
      <c r="K10" s="5">
        <v>19068422</v>
      </c>
      <c r="L10" s="5">
        <v>30638656</v>
      </c>
      <c r="M10" s="5">
        <v>16108991</v>
      </c>
      <c r="N10" s="205">
        <f>ROUND(M10/L10*100,2)</f>
        <v>52.58</v>
      </c>
      <c r="O10" s="5"/>
      <c r="P10" s="5"/>
      <c r="Q10" s="5"/>
      <c r="R10" s="205"/>
      <c r="S10" s="522"/>
      <c r="T10" s="522"/>
      <c r="U10" s="523"/>
    </row>
    <row r="11" spans="1:39">
      <c r="A11" s="204" t="s">
        <v>147</v>
      </c>
      <c r="B11" s="3" t="s">
        <v>209</v>
      </c>
      <c r="C11" s="5">
        <v>72887890</v>
      </c>
      <c r="D11" s="5">
        <v>72887848</v>
      </c>
      <c r="E11" s="5">
        <v>71796656</v>
      </c>
      <c r="F11" s="205">
        <f>ROUND(E11/D11*100,2)</f>
        <v>98.5</v>
      </c>
      <c r="G11" s="5">
        <v>11322946</v>
      </c>
      <c r="H11" s="5">
        <v>11320837</v>
      </c>
      <c r="I11" s="5">
        <v>11287305</v>
      </c>
      <c r="J11" s="644">
        <f>ROUND(I11/H11*100,2)</f>
        <v>99.7</v>
      </c>
      <c r="K11" s="5">
        <v>19339896</v>
      </c>
      <c r="L11" s="5">
        <v>32121429</v>
      </c>
      <c r="M11" s="5">
        <v>17512346</v>
      </c>
      <c r="N11" s="205">
        <f>ROUND(M11/L11*100,2)</f>
        <v>54.52</v>
      </c>
      <c r="O11" s="5"/>
      <c r="P11" s="5"/>
      <c r="Q11" s="5"/>
      <c r="R11" s="205"/>
      <c r="S11" s="522"/>
      <c r="T11" s="522"/>
      <c r="U11" s="523"/>
    </row>
    <row r="12" spans="1:39">
      <c r="A12" s="206" t="s">
        <v>148</v>
      </c>
      <c r="B12" s="207" t="s">
        <v>54</v>
      </c>
      <c r="C12" s="208">
        <f>SUM(C8:C11)</f>
        <v>434264539</v>
      </c>
      <c r="D12" s="208">
        <f>SUM(D8:D11)</f>
        <v>424897218</v>
      </c>
      <c r="E12" s="208">
        <f>SUM(E8:E11)</f>
        <v>403210160</v>
      </c>
      <c r="F12" s="209">
        <f>ROUND(E12/D12*100,2)</f>
        <v>94.9</v>
      </c>
      <c r="G12" s="210">
        <f>SUM(G8:G11)</f>
        <v>67154725</v>
      </c>
      <c r="H12" s="210">
        <f>SUM(H8:H11)</f>
        <v>69832348</v>
      </c>
      <c r="I12" s="210">
        <f>SUM(I8:I11)</f>
        <v>66490109</v>
      </c>
      <c r="J12" s="211">
        <f>ROUND(I12/H12*100,2)</f>
        <v>95.21</v>
      </c>
      <c r="K12" s="208">
        <f>SUM(K8:K11)</f>
        <v>131636196</v>
      </c>
      <c r="L12" s="208">
        <f>SUM(L8:L11)</f>
        <v>153116865</v>
      </c>
      <c r="M12" s="208">
        <f>SUM(M8:M11)</f>
        <v>104603326</v>
      </c>
      <c r="N12" s="209">
        <f>ROUND(M12/L12*100,2)</f>
        <v>68.319999999999993</v>
      </c>
      <c r="O12" s="210">
        <f>SUM(O8:O11)</f>
        <v>53255565</v>
      </c>
      <c r="P12" s="210">
        <f>SUM(P8:P11)</f>
        <v>66413932</v>
      </c>
      <c r="Q12" s="210">
        <f>SUM(Q8:Q11)</f>
        <v>66413932</v>
      </c>
      <c r="R12" s="211">
        <f>ROUND(Q12/P12*100,2)</f>
        <v>100</v>
      </c>
      <c r="S12" s="522"/>
      <c r="T12" s="522"/>
      <c r="U12" s="523"/>
    </row>
    <row r="13" spans="1:39" s="525" customFormat="1">
      <c r="A13" s="512"/>
      <c r="B13" s="512"/>
      <c r="C13" s="512"/>
      <c r="D13" s="512"/>
      <c r="E13" s="512"/>
      <c r="F13" s="512"/>
      <c r="G13" s="512"/>
      <c r="H13" s="512"/>
      <c r="I13" s="512"/>
      <c r="J13" s="512"/>
      <c r="K13" s="512"/>
      <c r="L13" s="512"/>
      <c r="M13" s="512"/>
      <c r="N13" s="512"/>
      <c r="O13" s="512"/>
      <c r="P13" s="512"/>
      <c r="Q13" s="512"/>
      <c r="R13" s="512"/>
      <c r="S13" s="524"/>
      <c r="T13" s="524"/>
      <c r="U13" s="524"/>
      <c r="V13" s="524"/>
      <c r="W13" s="524"/>
      <c r="X13" s="524"/>
      <c r="Y13" s="524"/>
      <c r="Z13" s="524"/>
      <c r="AA13" s="524"/>
      <c r="AB13" s="524"/>
      <c r="AC13" s="524"/>
      <c r="AD13" s="524"/>
      <c r="AE13" s="524"/>
      <c r="AF13" s="524"/>
      <c r="AG13" s="524"/>
      <c r="AH13" s="524"/>
      <c r="AI13" s="524"/>
      <c r="AJ13" s="524"/>
      <c r="AK13" s="524"/>
      <c r="AL13" s="524"/>
      <c r="AM13" s="524"/>
    </row>
    <row r="14" spans="1:39">
      <c r="A14" s="512"/>
      <c r="B14" s="512"/>
      <c r="C14" s="512"/>
      <c r="D14" s="512"/>
      <c r="E14" s="512"/>
      <c r="F14" s="512"/>
      <c r="G14" s="512"/>
      <c r="H14" s="512"/>
      <c r="I14" s="512"/>
      <c r="J14" s="512"/>
      <c r="K14" s="512"/>
      <c r="L14" s="512"/>
      <c r="M14" s="512"/>
      <c r="N14" s="512"/>
      <c r="O14" s="512"/>
      <c r="P14" s="512"/>
      <c r="Q14" s="512"/>
      <c r="R14" s="512"/>
    </row>
    <row r="15" spans="1:39" ht="12.75" customHeight="1">
      <c r="A15" s="946" t="s">
        <v>20</v>
      </c>
      <c r="B15" s="947" t="s">
        <v>201</v>
      </c>
      <c r="C15" s="948" t="s">
        <v>164</v>
      </c>
      <c r="D15" s="948"/>
      <c r="E15" s="948"/>
      <c r="F15" s="948"/>
      <c r="G15" s="941" t="s">
        <v>166</v>
      </c>
      <c r="H15" s="941"/>
      <c r="I15" s="941"/>
      <c r="J15" s="941"/>
      <c r="K15" s="948" t="s">
        <v>968</v>
      </c>
      <c r="L15" s="948"/>
      <c r="M15" s="948"/>
      <c r="N15" s="948"/>
      <c r="O15" s="941" t="s">
        <v>894</v>
      </c>
      <c r="P15" s="941"/>
      <c r="Q15" s="941"/>
      <c r="R15" s="941"/>
      <c r="S15" s="526"/>
    </row>
    <row r="16" spans="1:39" ht="12.75" customHeight="1">
      <c r="A16" s="946"/>
      <c r="B16" s="947"/>
      <c r="C16" s="514" t="s">
        <v>203</v>
      </c>
      <c r="D16" s="514" t="s">
        <v>204</v>
      </c>
      <c r="E16" s="514" t="s">
        <v>205</v>
      </c>
      <c r="F16" s="514" t="s">
        <v>206</v>
      </c>
      <c r="G16" s="203" t="s">
        <v>171</v>
      </c>
      <c r="H16" s="203" t="s">
        <v>135</v>
      </c>
      <c r="I16" s="203" t="s">
        <v>205</v>
      </c>
      <c r="J16" s="203" t="s">
        <v>206</v>
      </c>
      <c r="K16" s="514" t="s">
        <v>171</v>
      </c>
      <c r="L16" s="514" t="s">
        <v>135</v>
      </c>
      <c r="M16" s="514" t="s">
        <v>205</v>
      </c>
      <c r="N16" s="514" t="s">
        <v>206</v>
      </c>
      <c r="O16" s="515" t="s">
        <v>171</v>
      </c>
      <c r="P16" s="515" t="s">
        <v>135</v>
      </c>
      <c r="Q16" s="515" t="s">
        <v>205</v>
      </c>
      <c r="R16" s="515" t="s">
        <v>206</v>
      </c>
      <c r="S16" s="526"/>
    </row>
    <row r="17" spans="1:39">
      <c r="A17" s="204" t="s">
        <v>141</v>
      </c>
      <c r="B17" s="3" t="s">
        <v>25</v>
      </c>
      <c r="C17" s="5">
        <v>27534</v>
      </c>
      <c r="D17" s="5">
        <v>27534</v>
      </c>
      <c r="E17" s="5">
        <v>0</v>
      </c>
      <c r="F17" s="205">
        <f>ROUND(E17/D17*100,2)</f>
        <v>0</v>
      </c>
      <c r="G17" s="5">
        <v>2024233</v>
      </c>
      <c r="H17" s="5">
        <v>2024233</v>
      </c>
      <c r="I17" s="5">
        <v>1877856</v>
      </c>
      <c r="J17" s="205">
        <f>ROUND(I17/H17*100,2)</f>
        <v>92.77</v>
      </c>
      <c r="K17" s="5">
        <v>900000</v>
      </c>
      <c r="L17" s="5">
        <v>900000</v>
      </c>
      <c r="M17" s="5">
        <v>0</v>
      </c>
      <c r="N17" s="205">
        <f>ROUND(M17/L17*100,2)</f>
        <v>0</v>
      </c>
      <c r="O17" s="5">
        <v>0</v>
      </c>
      <c r="P17" s="5">
        <v>242110</v>
      </c>
      <c r="Q17" s="5">
        <v>242110</v>
      </c>
      <c r="R17" s="205">
        <f>ROUND(Q17/P17*100,2)</f>
        <v>100</v>
      </c>
    </row>
    <row r="18" spans="1:39">
      <c r="A18" s="204" t="s">
        <v>142</v>
      </c>
      <c r="B18" s="3" t="s">
        <v>207</v>
      </c>
      <c r="C18" s="5">
        <v>450000</v>
      </c>
      <c r="D18" s="5">
        <v>450000</v>
      </c>
      <c r="E18" s="5">
        <v>449997</v>
      </c>
      <c r="F18" s="205">
        <f>ROUND(E18/D18*100,2)</f>
        <v>100</v>
      </c>
      <c r="G18" s="5"/>
      <c r="H18" s="5"/>
      <c r="I18" s="5"/>
      <c r="J18" s="205"/>
      <c r="K18" s="5"/>
      <c r="L18" s="5"/>
      <c r="M18" s="5"/>
      <c r="N18" s="205"/>
      <c r="O18" s="5"/>
      <c r="P18" s="5"/>
      <c r="Q18" s="5"/>
      <c r="R18" s="205"/>
    </row>
    <row r="19" spans="1:39">
      <c r="A19" s="204" t="s">
        <v>143</v>
      </c>
      <c r="B19" s="3" t="s">
        <v>208</v>
      </c>
      <c r="C19" s="5">
        <v>254750</v>
      </c>
      <c r="D19" s="5">
        <v>495451</v>
      </c>
      <c r="E19" s="5">
        <v>492110</v>
      </c>
      <c r="F19" s="205">
        <f>ROUND(E19/D19*100,2)</f>
        <v>99.33</v>
      </c>
      <c r="G19" s="5"/>
      <c r="H19" s="5"/>
      <c r="I19" s="5"/>
      <c r="J19" s="205"/>
      <c r="K19" s="5"/>
      <c r="L19" s="5"/>
      <c r="M19" s="5"/>
      <c r="N19" s="205"/>
      <c r="O19" s="5"/>
      <c r="P19" s="5"/>
      <c r="Q19" s="5"/>
      <c r="R19" s="205"/>
    </row>
    <row r="20" spans="1:39">
      <c r="A20" s="204" t="s">
        <v>147</v>
      </c>
      <c r="B20" s="3" t="s">
        <v>209</v>
      </c>
      <c r="C20" s="5">
        <v>110246</v>
      </c>
      <c r="D20" s="5">
        <v>110246</v>
      </c>
      <c r="E20" s="5">
        <v>110200</v>
      </c>
      <c r="F20" s="205">
        <f>ROUND(E20/D20*100,2)</f>
        <v>99.96</v>
      </c>
      <c r="G20" s="5"/>
      <c r="H20" s="5"/>
      <c r="I20" s="5"/>
      <c r="J20" s="205"/>
      <c r="K20" s="5"/>
      <c r="L20" s="5"/>
      <c r="M20" s="5"/>
      <c r="N20" s="205"/>
      <c r="O20" s="5"/>
      <c r="P20" s="5"/>
      <c r="Q20" s="5"/>
      <c r="R20" s="205"/>
    </row>
    <row r="21" spans="1:39">
      <c r="A21" s="206" t="s">
        <v>148</v>
      </c>
      <c r="B21" s="207" t="s">
        <v>54</v>
      </c>
      <c r="C21" s="208">
        <f>SUM(C17:C20)</f>
        <v>842530</v>
      </c>
      <c r="D21" s="208">
        <f>SUM(D17:D20)</f>
        <v>1083231</v>
      </c>
      <c r="E21" s="208">
        <f>SUM(E17:E20)</f>
        <v>1052307</v>
      </c>
      <c r="F21" s="209">
        <f>ROUND(E21/D21*100,2)</f>
        <v>97.15</v>
      </c>
      <c r="G21" s="210">
        <f>SUM(G17:G20)</f>
        <v>2024233</v>
      </c>
      <c r="H21" s="210">
        <f>SUM(H17:H20)</f>
        <v>2024233</v>
      </c>
      <c r="I21" s="210">
        <f>SUM(I17:I20)</f>
        <v>1877856</v>
      </c>
      <c r="J21" s="211">
        <f>ROUND(I21/H21*100,2)</f>
        <v>92.77</v>
      </c>
      <c r="K21" s="208">
        <f t="shared" ref="K21:R21" si="0">SUM(K17:K20)</f>
        <v>900000</v>
      </c>
      <c r="L21" s="208">
        <f t="shared" si="0"/>
        <v>900000</v>
      </c>
      <c r="M21" s="208">
        <f t="shared" si="0"/>
        <v>0</v>
      </c>
      <c r="N21" s="208">
        <f t="shared" si="0"/>
        <v>0</v>
      </c>
      <c r="O21" s="468">
        <f t="shared" si="0"/>
        <v>0</v>
      </c>
      <c r="P21" s="468">
        <f t="shared" si="0"/>
        <v>242110</v>
      </c>
      <c r="Q21" s="468">
        <f t="shared" si="0"/>
        <v>242110</v>
      </c>
      <c r="R21" s="468">
        <f t="shared" si="0"/>
        <v>100</v>
      </c>
    </row>
    <row r="22" spans="1:39">
      <c r="A22" s="512"/>
      <c r="B22" s="512"/>
      <c r="C22" s="512"/>
      <c r="D22" s="512"/>
      <c r="E22" s="512"/>
      <c r="F22" s="512"/>
      <c r="G22" s="512"/>
      <c r="H22" s="512"/>
      <c r="I22" s="512"/>
      <c r="J22" s="512"/>
      <c r="K22" s="512"/>
      <c r="L22" s="512"/>
      <c r="M22" s="512"/>
      <c r="N22" s="512"/>
      <c r="O22" s="512"/>
      <c r="P22" s="512"/>
      <c r="Q22" s="512"/>
      <c r="R22" s="512"/>
    </row>
    <row r="23" spans="1:39" s="525" customFormat="1">
      <c r="A23" s="512"/>
      <c r="B23" s="512"/>
      <c r="C23" s="512"/>
      <c r="D23" s="512"/>
      <c r="E23" s="512"/>
      <c r="F23" s="512"/>
      <c r="G23" s="512"/>
      <c r="H23" s="512"/>
      <c r="I23" s="512"/>
      <c r="J23" s="512"/>
      <c r="K23" s="512"/>
      <c r="L23" s="512"/>
      <c r="M23" s="512"/>
      <c r="N23" s="512"/>
      <c r="O23" s="512"/>
      <c r="P23" s="512"/>
      <c r="Q23" s="512"/>
      <c r="R23" s="512"/>
      <c r="S23" s="524"/>
      <c r="T23" s="524"/>
      <c r="U23" s="524"/>
      <c r="V23" s="524"/>
      <c r="W23" s="524"/>
      <c r="X23" s="524"/>
      <c r="Y23" s="524"/>
      <c r="Z23" s="524"/>
      <c r="AA23" s="524"/>
      <c r="AB23" s="524"/>
      <c r="AC23" s="524"/>
      <c r="AD23" s="524"/>
      <c r="AE23" s="524"/>
      <c r="AF23" s="524"/>
      <c r="AG23" s="524"/>
      <c r="AH23" s="524"/>
      <c r="AI23" s="524"/>
      <c r="AJ23" s="524"/>
      <c r="AK23" s="524"/>
      <c r="AL23" s="524"/>
      <c r="AM23" s="524"/>
    </row>
    <row r="24" spans="1:39" s="525" customFormat="1">
      <c r="A24" s="946" t="s">
        <v>20</v>
      </c>
      <c r="B24" s="947" t="s">
        <v>201</v>
      </c>
      <c r="C24" s="950" t="s">
        <v>895</v>
      </c>
      <c r="D24" s="950"/>
      <c r="E24" s="950"/>
      <c r="F24" s="950"/>
      <c r="G24" s="941" t="s">
        <v>896</v>
      </c>
      <c r="H24" s="941"/>
      <c r="I24" s="941"/>
      <c r="J24" s="941"/>
      <c r="K24" s="512"/>
      <c r="L24" s="512"/>
      <c r="M24" s="512"/>
      <c r="N24" s="512"/>
      <c r="O24" s="512"/>
      <c r="P24" s="512"/>
      <c r="Q24" s="512"/>
      <c r="R24" s="512"/>
      <c r="S24" s="524"/>
      <c r="T24" s="524"/>
      <c r="U24" s="524"/>
      <c r="V24" s="524"/>
      <c r="W24" s="524"/>
      <c r="X24" s="524"/>
      <c r="Y24" s="524"/>
      <c r="Z24" s="524"/>
      <c r="AA24" s="524"/>
      <c r="AB24" s="524"/>
      <c r="AC24" s="524"/>
      <c r="AD24" s="524"/>
      <c r="AE24" s="524"/>
      <c r="AF24" s="524"/>
      <c r="AG24" s="524"/>
      <c r="AH24" s="524"/>
      <c r="AI24" s="524"/>
      <c r="AJ24" s="524"/>
      <c r="AK24" s="524"/>
      <c r="AL24" s="524"/>
      <c r="AM24" s="524"/>
    </row>
    <row r="25" spans="1:39" s="525" customFormat="1">
      <c r="A25" s="946"/>
      <c r="B25" s="947"/>
      <c r="C25" s="514" t="s">
        <v>203</v>
      </c>
      <c r="D25" s="514" t="s">
        <v>204</v>
      </c>
      <c r="E25" s="514" t="s">
        <v>205</v>
      </c>
      <c r="F25" s="514" t="s">
        <v>206</v>
      </c>
      <c r="G25" s="203" t="s">
        <v>171</v>
      </c>
      <c r="H25" s="203" t="s">
        <v>135</v>
      </c>
      <c r="I25" s="203" t="s">
        <v>205</v>
      </c>
      <c r="J25" s="203" t="s">
        <v>206</v>
      </c>
      <c r="K25" s="512"/>
      <c r="L25" s="512"/>
      <c r="M25" s="512"/>
      <c r="N25" s="512"/>
      <c r="O25" s="512"/>
      <c r="P25" s="512"/>
      <c r="Q25" s="512"/>
      <c r="R25" s="512"/>
      <c r="S25" s="524"/>
      <c r="T25" s="524"/>
      <c r="U25" s="524"/>
      <c r="V25" s="524"/>
      <c r="W25" s="524"/>
      <c r="X25" s="524"/>
      <c r="Y25" s="524"/>
      <c r="Z25" s="524"/>
      <c r="AA25" s="524"/>
      <c r="AB25" s="524"/>
      <c r="AC25" s="524"/>
      <c r="AD25" s="524"/>
      <c r="AE25" s="524"/>
      <c r="AF25" s="524"/>
      <c r="AG25" s="524"/>
      <c r="AH25" s="524"/>
      <c r="AI25" s="524"/>
      <c r="AJ25" s="524"/>
      <c r="AK25" s="524"/>
      <c r="AL25" s="524"/>
      <c r="AM25" s="524"/>
    </row>
    <row r="26" spans="1:39" s="525" customFormat="1">
      <c r="A26" s="204" t="s">
        <v>141</v>
      </c>
      <c r="B26" s="3" t="s">
        <v>25</v>
      </c>
      <c r="C26" s="5">
        <v>368611389</v>
      </c>
      <c r="D26" s="5">
        <v>388199158</v>
      </c>
      <c r="E26" s="5">
        <v>388199158</v>
      </c>
      <c r="F26" s="205">
        <f>ROUND(E26/D26*100,2)</f>
        <v>100</v>
      </c>
      <c r="G26" s="5"/>
      <c r="H26" s="5"/>
      <c r="I26" s="5"/>
      <c r="J26" s="205"/>
      <c r="K26" s="512"/>
      <c r="L26" s="512"/>
      <c r="M26" s="512"/>
      <c r="N26" s="512"/>
      <c r="O26" s="512"/>
      <c r="P26" s="512"/>
      <c r="Q26" s="512"/>
      <c r="R26" s="512"/>
      <c r="S26" s="524"/>
      <c r="T26" s="524"/>
      <c r="U26" s="524"/>
      <c r="V26" s="524"/>
      <c r="W26" s="524"/>
      <c r="X26" s="524"/>
      <c r="Y26" s="524"/>
      <c r="Z26" s="524"/>
      <c r="AA26" s="524"/>
      <c r="AB26" s="524"/>
      <c r="AC26" s="524"/>
      <c r="AD26" s="524"/>
      <c r="AE26" s="524"/>
      <c r="AF26" s="524"/>
      <c r="AG26" s="524"/>
      <c r="AH26" s="524"/>
      <c r="AI26" s="524"/>
      <c r="AJ26" s="524"/>
      <c r="AK26" s="524"/>
      <c r="AL26" s="524"/>
      <c r="AM26" s="524"/>
    </row>
    <row r="27" spans="1:39" s="525" customFormat="1">
      <c r="A27" s="204" t="s">
        <v>142</v>
      </c>
      <c r="B27" s="3" t="s">
        <v>207</v>
      </c>
      <c r="C27" s="5"/>
      <c r="D27" s="5"/>
      <c r="E27" s="5"/>
      <c r="F27" s="205"/>
      <c r="G27" s="5"/>
      <c r="H27" s="5"/>
      <c r="I27" s="5"/>
      <c r="J27" s="205"/>
      <c r="K27" s="512"/>
      <c r="L27" s="512"/>
      <c r="M27" s="512"/>
      <c r="N27" s="512"/>
      <c r="O27" s="512"/>
      <c r="P27" s="512"/>
      <c r="Q27" s="512"/>
      <c r="R27" s="512"/>
      <c r="S27" s="524"/>
      <c r="T27" s="524"/>
      <c r="U27" s="524"/>
      <c r="V27" s="524"/>
      <c r="W27" s="524"/>
      <c r="X27" s="524"/>
      <c r="Y27" s="524"/>
      <c r="Z27" s="524"/>
      <c r="AA27" s="524"/>
      <c r="AB27" s="524"/>
      <c r="AC27" s="524"/>
      <c r="AD27" s="524"/>
      <c r="AE27" s="524"/>
      <c r="AF27" s="524"/>
      <c r="AG27" s="524"/>
      <c r="AH27" s="524"/>
      <c r="AI27" s="524"/>
      <c r="AJ27" s="524"/>
      <c r="AK27" s="524"/>
      <c r="AL27" s="524"/>
      <c r="AM27" s="524"/>
    </row>
    <row r="28" spans="1:39" s="525" customFormat="1">
      <c r="A28" s="204" t="s">
        <v>143</v>
      </c>
      <c r="B28" s="3" t="s">
        <v>208</v>
      </c>
      <c r="C28" s="5"/>
      <c r="D28" s="5"/>
      <c r="E28" s="5"/>
      <c r="F28" s="205"/>
      <c r="G28" s="5">
        <v>0</v>
      </c>
      <c r="H28" s="5">
        <v>1050000</v>
      </c>
      <c r="I28" s="5">
        <v>1050000</v>
      </c>
      <c r="J28" s="205">
        <f>ROUND(I28/H28*100,2)</f>
        <v>100</v>
      </c>
      <c r="K28" s="512"/>
      <c r="L28" s="512"/>
      <c r="M28" s="512"/>
      <c r="N28" s="512"/>
      <c r="O28" s="512"/>
      <c r="P28" s="512"/>
      <c r="Q28" s="512"/>
      <c r="R28" s="512"/>
      <c r="S28" s="524"/>
      <c r="T28" s="524"/>
      <c r="U28" s="524"/>
      <c r="V28" s="524"/>
      <c r="W28" s="524"/>
      <c r="X28" s="524"/>
      <c r="Y28" s="524"/>
      <c r="Z28" s="524"/>
      <c r="AA28" s="524"/>
      <c r="AB28" s="524"/>
      <c r="AC28" s="524"/>
      <c r="AD28" s="524"/>
      <c r="AE28" s="524"/>
      <c r="AF28" s="524"/>
      <c r="AG28" s="524"/>
      <c r="AH28" s="524"/>
      <c r="AI28" s="524"/>
      <c r="AJ28" s="524"/>
      <c r="AK28" s="524"/>
      <c r="AL28" s="524"/>
      <c r="AM28" s="524"/>
    </row>
    <row r="29" spans="1:39" s="525" customFormat="1">
      <c r="A29" s="204" t="s">
        <v>147</v>
      </c>
      <c r="B29" s="3" t="s">
        <v>209</v>
      </c>
      <c r="C29" s="5"/>
      <c r="D29" s="5"/>
      <c r="E29" s="5"/>
      <c r="F29" s="205"/>
      <c r="G29" s="5"/>
      <c r="H29" s="5"/>
      <c r="I29" s="5"/>
      <c r="J29" s="205"/>
      <c r="K29" s="512"/>
      <c r="L29" s="512"/>
      <c r="M29" s="512"/>
      <c r="N29" s="512"/>
      <c r="O29" s="512"/>
      <c r="P29" s="512"/>
      <c r="Q29" s="512"/>
      <c r="R29" s="512"/>
      <c r="S29" s="524"/>
      <c r="T29" s="524"/>
      <c r="U29" s="524"/>
      <c r="V29" s="524"/>
      <c r="W29" s="524"/>
      <c r="X29" s="524"/>
      <c r="Y29" s="524"/>
      <c r="Z29" s="524"/>
      <c r="AA29" s="524"/>
      <c r="AB29" s="524"/>
      <c r="AC29" s="524"/>
      <c r="AD29" s="524"/>
      <c r="AE29" s="524"/>
      <c r="AF29" s="524"/>
      <c r="AG29" s="524"/>
      <c r="AH29" s="524"/>
      <c r="AI29" s="524"/>
      <c r="AJ29" s="524"/>
      <c r="AK29" s="524"/>
      <c r="AL29" s="524"/>
      <c r="AM29" s="524"/>
    </row>
    <row r="30" spans="1:39" s="525" customFormat="1">
      <c r="A30" s="206" t="s">
        <v>148</v>
      </c>
      <c r="B30" s="207" t="s">
        <v>54</v>
      </c>
      <c r="C30" s="208">
        <f>SUM(C26:C29)</f>
        <v>368611389</v>
      </c>
      <c r="D30" s="208">
        <f>SUM(D26:D29)</f>
        <v>388199158</v>
      </c>
      <c r="E30" s="208">
        <f>SUM(E26:E29)</f>
        <v>388199158</v>
      </c>
      <c r="F30" s="209">
        <f>ROUND(E30/D30*100,2)</f>
        <v>100</v>
      </c>
      <c r="G30" s="210">
        <f>SUM(G26:G29)</f>
        <v>0</v>
      </c>
      <c r="H30" s="210">
        <f>SUM(H26:H29)</f>
        <v>1050000</v>
      </c>
      <c r="I30" s="210">
        <f>SUM(I26:I29)</f>
        <v>1050000</v>
      </c>
      <c r="J30" s="211"/>
      <c r="K30" s="512"/>
      <c r="L30" s="512"/>
      <c r="M30" s="512"/>
      <c r="N30" s="512"/>
      <c r="O30" s="512"/>
      <c r="P30" s="512"/>
      <c r="Q30" s="512"/>
      <c r="R30" s="512"/>
      <c r="S30" s="524"/>
      <c r="T30" s="524"/>
      <c r="U30" s="524"/>
      <c r="V30" s="524"/>
      <c r="W30" s="524"/>
      <c r="X30" s="524"/>
      <c r="Y30" s="524"/>
      <c r="Z30" s="524"/>
      <c r="AA30" s="524"/>
      <c r="AB30" s="524"/>
      <c r="AC30" s="524"/>
      <c r="AD30" s="524"/>
      <c r="AE30" s="524"/>
      <c r="AF30" s="524"/>
      <c r="AG30" s="524"/>
      <c r="AH30" s="524"/>
      <c r="AI30" s="524"/>
      <c r="AJ30" s="524"/>
      <c r="AK30" s="524"/>
      <c r="AL30" s="524"/>
      <c r="AM30" s="524"/>
    </row>
    <row r="31" spans="1:39" s="525" customFormat="1">
      <c r="A31" s="512"/>
      <c r="B31" s="512"/>
      <c r="C31" s="512"/>
      <c r="D31" s="512"/>
      <c r="E31" s="512"/>
      <c r="F31" s="512"/>
      <c r="G31" s="512"/>
      <c r="H31" s="512"/>
      <c r="I31" s="512"/>
      <c r="J31" s="512"/>
      <c r="K31" s="512"/>
      <c r="L31" s="512"/>
      <c r="M31" s="512"/>
      <c r="N31" s="512"/>
      <c r="O31" s="512"/>
      <c r="P31" s="512"/>
      <c r="Q31" s="512"/>
      <c r="R31" s="512"/>
      <c r="S31" s="524"/>
      <c r="T31" s="524"/>
      <c r="U31" s="524"/>
      <c r="V31" s="524"/>
      <c r="W31" s="524"/>
      <c r="X31" s="524"/>
      <c r="Y31" s="524"/>
      <c r="Z31" s="524"/>
      <c r="AA31" s="524"/>
      <c r="AB31" s="524"/>
      <c r="AC31" s="524"/>
      <c r="AD31" s="524"/>
      <c r="AE31" s="524"/>
      <c r="AF31" s="524"/>
      <c r="AG31" s="524"/>
      <c r="AH31" s="524"/>
      <c r="AI31" s="524"/>
      <c r="AJ31" s="524"/>
      <c r="AK31" s="524"/>
      <c r="AL31" s="524"/>
      <c r="AM31" s="524"/>
    </row>
    <row r="32" spans="1:39" s="525" customFormat="1">
      <c r="A32" s="512"/>
      <c r="B32" s="512"/>
      <c r="C32" s="512"/>
      <c r="D32" s="512"/>
      <c r="E32" s="512"/>
      <c r="F32" s="512"/>
      <c r="G32" s="512"/>
      <c r="H32" s="512"/>
      <c r="I32" s="512"/>
      <c r="J32" s="512"/>
      <c r="K32" s="512"/>
      <c r="L32" s="512"/>
      <c r="M32" s="512"/>
      <c r="N32" s="512"/>
      <c r="O32" s="512"/>
      <c r="P32" s="512"/>
      <c r="Q32" s="512"/>
      <c r="R32" s="512"/>
      <c r="S32" s="524"/>
      <c r="T32" s="524"/>
      <c r="U32" s="524"/>
      <c r="V32" s="524"/>
      <c r="W32" s="524"/>
      <c r="X32" s="524"/>
      <c r="Y32" s="524"/>
      <c r="Z32" s="524"/>
      <c r="AA32" s="524"/>
      <c r="AB32" s="524"/>
      <c r="AC32" s="524"/>
      <c r="AD32" s="524"/>
      <c r="AE32" s="524"/>
      <c r="AF32" s="524"/>
      <c r="AG32" s="524"/>
      <c r="AH32" s="524"/>
      <c r="AI32" s="524"/>
      <c r="AJ32" s="524"/>
      <c r="AK32" s="524"/>
      <c r="AL32" s="524"/>
      <c r="AM32" s="524"/>
    </row>
    <row r="33" spans="1:39" s="525" customFormat="1">
      <c r="A33" s="512"/>
      <c r="B33" s="512"/>
      <c r="C33" s="512"/>
      <c r="D33" s="512"/>
      <c r="E33" s="512"/>
      <c r="F33" s="512"/>
      <c r="G33" s="512"/>
      <c r="H33" s="512"/>
      <c r="I33" s="512"/>
      <c r="J33" s="512"/>
      <c r="K33" s="512"/>
      <c r="L33" s="512"/>
      <c r="M33" s="512"/>
      <c r="N33" s="512"/>
      <c r="O33" s="512"/>
      <c r="P33" s="512"/>
      <c r="Q33" s="512"/>
      <c r="R33" s="512"/>
      <c r="S33" s="524"/>
      <c r="T33" s="524"/>
      <c r="U33" s="524"/>
      <c r="V33" s="524"/>
      <c r="W33" s="524"/>
      <c r="X33" s="524"/>
      <c r="Y33" s="524"/>
      <c r="Z33" s="524"/>
      <c r="AA33" s="524"/>
      <c r="AB33" s="524"/>
      <c r="AC33" s="524"/>
      <c r="AD33" s="524"/>
      <c r="AE33" s="524"/>
      <c r="AF33" s="524"/>
      <c r="AG33" s="524"/>
      <c r="AH33" s="524"/>
      <c r="AI33" s="524"/>
      <c r="AJ33" s="524"/>
      <c r="AK33" s="524"/>
      <c r="AL33" s="524"/>
      <c r="AM33" s="524"/>
    </row>
    <row r="34" spans="1:39" s="517" customFormat="1" ht="12.75" customHeight="1">
      <c r="A34" s="951" t="s">
        <v>20</v>
      </c>
      <c r="B34" s="953" t="s">
        <v>201</v>
      </c>
      <c r="C34" s="955" t="s">
        <v>419</v>
      </c>
      <c r="D34" s="956"/>
      <c r="E34" s="956"/>
      <c r="F34" s="957"/>
      <c r="G34" s="949"/>
      <c r="H34" s="949"/>
      <c r="I34" s="949"/>
      <c r="J34" s="949"/>
      <c r="K34" s="949"/>
      <c r="L34" s="949"/>
      <c r="M34" s="949"/>
      <c r="N34" s="949"/>
      <c r="O34" s="218"/>
      <c r="P34" s="218"/>
      <c r="Q34" s="218"/>
      <c r="R34" s="218"/>
    </row>
    <row r="35" spans="1:39" s="517" customFormat="1" ht="12.75" customHeight="1">
      <c r="A35" s="952"/>
      <c r="B35" s="954"/>
      <c r="C35" s="269" t="s">
        <v>203</v>
      </c>
      <c r="D35" s="269" t="s">
        <v>204</v>
      </c>
      <c r="E35" s="269" t="s">
        <v>205</v>
      </c>
      <c r="F35" s="269" t="s">
        <v>206</v>
      </c>
      <c r="G35" s="513"/>
      <c r="H35" s="513"/>
      <c r="I35" s="513"/>
      <c r="J35" s="513"/>
      <c r="K35" s="513"/>
      <c r="L35" s="513"/>
      <c r="M35" s="513"/>
      <c r="N35" s="513"/>
      <c r="O35" s="513"/>
      <c r="P35" s="513"/>
      <c r="Q35" s="513"/>
      <c r="R35" s="513"/>
    </row>
    <row r="36" spans="1:39" s="528" customFormat="1" ht="12.75" customHeight="1">
      <c r="A36" s="270" t="s">
        <v>141</v>
      </c>
      <c r="B36" s="271" t="s">
        <v>25</v>
      </c>
      <c r="C36" s="244">
        <f>C8+G8+K8+O8+C17+G17+K17+O17+C26+G26</f>
        <v>473006849</v>
      </c>
      <c r="D36" s="244">
        <f t="shared" ref="D36:E39" si="1">D8+H8+L8+P8+D17+H17+L17+P17+D26+H26</f>
        <v>503017029</v>
      </c>
      <c r="E36" s="244">
        <f t="shared" si="1"/>
        <v>484657411</v>
      </c>
      <c r="F36" s="272">
        <f>ROUND(E36/D36*100,2)</f>
        <v>96.35</v>
      </c>
      <c r="G36" s="219"/>
      <c r="H36" s="219"/>
      <c r="I36" s="219"/>
      <c r="J36" s="220"/>
      <c r="K36" s="219"/>
      <c r="L36" s="219"/>
      <c r="M36" s="219"/>
      <c r="N36" s="220"/>
      <c r="O36" s="221"/>
      <c r="P36" s="221"/>
      <c r="Q36" s="221"/>
      <c r="R36" s="222"/>
      <c r="S36" s="527"/>
      <c r="T36" s="527"/>
      <c r="U36" s="527"/>
      <c r="V36" s="527"/>
      <c r="W36" s="527"/>
      <c r="X36" s="527"/>
      <c r="Y36" s="527"/>
      <c r="Z36" s="527"/>
      <c r="AA36" s="527"/>
      <c r="AB36" s="527"/>
      <c r="AC36" s="527"/>
      <c r="AD36" s="527"/>
      <c r="AE36" s="527"/>
      <c r="AF36" s="527"/>
      <c r="AG36" s="527"/>
      <c r="AH36" s="527"/>
      <c r="AI36" s="527"/>
      <c r="AJ36" s="527"/>
      <c r="AK36" s="527"/>
      <c r="AL36" s="527"/>
      <c r="AM36" s="527"/>
    </row>
    <row r="37" spans="1:39" s="528" customFormat="1">
      <c r="A37" s="270" t="s">
        <v>142</v>
      </c>
      <c r="B37" s="271" t="s">
        <v>207</v>
      </c>
      <c r="C37" s="244">
        <f>C9+G9+K9+O9+C18+G18+K18+O18+C27+G27</f>
        <v>295036017</v>
      </c>
      <c r="D37" s="244">
        <f>D9+H9+L9+P9+D18+H18+L18+P18+D27+H27</f>
        <v>286859444</v>
      </c>
      <c r="E37" s="244">
        <f t="shared" si="1"/>
        <v>269723502</v>
      </c>
      <c r="F37" s="272">
        <f>ROUND(E37/D37*100,2)</f>
        <v>94.03</v>
      </c>
      <c r="G37" s="219"/>
      <c r="H37" s="219"/>
      <c r="I37" s="219"/>
      <c r="J37" s="220"/>
      <c r="K37" s="219"/>
      <c r="L37" s="219"/>
      <c r="M37" s="219"/>
      <c r="N37" s="220"/>
      <c r="O37" s="221"/>
      <c r="P37" s="221"/>
      <c r="Q37" s="221"/>
      <c r="R37" s="222"/>
      <c r="S37" s="527"/>
      <c r="T37" s="527"/>
      <c r="U37" s="527"/>
      <c r="V37" s="527"/>
      <c r="W37" s="527"/>
      <c r="X37" s="527"/>
      <c r="Y37" s="527"/>
      <c r="Z37" s="527"/>
      <c r="AA37" s="527"/>
      <c r="AB37" s="527"/>
      <c r="AC37" s="527"/>
      <c r="AD37" s="527"/>
      <c r="AE37" s="527"/>
      <c r="AF37" s="527"/>
      <c r="AG37" s="527"/>
      <c r="AH37" s="527"/>
      <c r="AI37" s="527"/>
      <c r="AJ37" s="527"/>
      <c r="AK37" s="527"/>
      <c r="AL37" s="527"/>
      <c r="AM37" s="527"/>
    </row>
    <row r="38" spans="1:39">
      <c r="A38" s="270" t="s">
        <v>143</v>
      </c>
      <c r="B38" s="271" t="s">
        <v>208</v>
      </c>
      <c r="C38" s="244">
        <f>C10+G10+K10+O10+C19+G19+K19+O19+C28+G28</f>
        <v>186985333</v>
      </c>
      <c r="D38" s="244">
        <f>D10+H10+L10+P10+D19+H19+L19+P19+D28+H28</f>
        <v>201442262</v>
      </c>
      <c r="E38" s="244">
        <f t="shared" si="1"/>
        <v>178051538</v>
      </c>
      <c r="F38" s="272">
        <f>ROUND(E38/D38*100,2)</f>
        <v>88.39</v>
      </c>
      <c r="G38" s="219"/>
      <c r="H38" s="219"/>
      <c r="I38" s="219"/>
      <c r="J38" s="220"/>
      <c r="K38" s="219"/>
      <c r="L38" s="219"/>
      <c r="M38" s="219"/>
      <c r="N38" s="220"/>
      <c r="O38" s="219"/>
      <c r="P38" s="219"/>
      <c r="Q38" s="219"/>
      <c r="R38" s="220"/>
    </row>
    <row r="39" spans="1:39">
      <c r="A39" s="270" t="s">
        <v>147</v>
      </c>
      <c r="B39" s="271" t="s">
        <v>209</v>
      </c>
      <c r="C39" s="244">
        <f>C11+G11+K11+O11+C20+G20+K20+O20+C29+G29</f>
        <v>103660978</v>
      </c>
      <c r="D39" s="244">
        <f>D11+H11+L11+P11+D20+H20+L20+P20+D29+H29</f>
        <v>116440360</v>
      </c>
      <c r="E39" s="244">
        <f t="shared" si="1"/>
        <v>100706507</v>
      </c>
      <c r="F39" s="272">
        <f>ROUND(E39/D39*100,2)</f>
        <v>86.49</v>
      </c>
      <c r="G39" s="219"/>
      <c r="H39" s="219"/>
      <c r="I39" s="219"/>
      <c r="J39" s="220"/>
      <c r="K39" s="219"/>
      <c r="L39" s="219"/>
      <c r="M39" s="219"/>
      <c r="N39" s="220"/>
      <c r="O39" s="219"/>
      <c r="P39" s="219"/>
      <c r="Q39" s="219"/>
      <c r="R39" s="222"/>
    </row>
    <row r="40" spans="1:39">
      <c r="A40" s="273" t="s">
        <v>148</v>
      </c>
      <c r="B40" s="274" t="s">
        <v>54</v>
      </c>
      <c r="C40" s="160">
        <f>SUM(C36:C39)</f>
        <v>1058689177</v>
      </c>
      <c r="D40" s="160">
        <f>SUM(D36:D39)</f>
        <v>1107759095</v>
      </c>
      <c r="E40" s="160">
        <f>SUM(E36:E39)</f>
        <v>1033138958</v>
      </c>
      <c r="F40" s="275">
        <f>ROUND(E40/D40*100,2)</f>
        <v>93.26</v>
      </c>
      <c r="G40" s="219"/>
      <c r="H40" s="219"/>
      <c r="I40" s="219"/>
      <c r="J40" s="220"/>
      <c r="K40" s="219"/>
      <c r="L40" s="219"/>
      <c r="M40" s="219"/>
      <c r="N40" s="220"/>
      <c r="O40" s="219"/>
      <c r="P40" s="219"/>
    </row>
    <row r="41" spans="1:39">
      <c r="A41" s="212"/>
      <c r="B41" s="213"/>
      <c r="C41" s="214"/>
      <c r="D41" s="214"/>
      <c r="E41" s="214"/>
      <c r="F41" s="215"/>
      <c r="G41" s="214"/>
      <c r="H41" s="214"/>
      <c r="I41" s="214"/>
      <c r="J41" s="216"/>
      <c r="K41" s="222"/>
      <c r="L41" s="222"/>
      <c r="M41" s="222"/>
      <c r="N41" s="222"/>
      <c r="O41" s="219"/>
      <c r="P41" s="219"/>
      <c r="Q41" s="529"/>
      <c r="R41" s="529"/>
    </row>
    <row r="42" spans="1:39" ht="12" customHeight="1">
      <c r="A42" s="517"/>
      <c r="B42" s="517"/>
      <c r="C42" s="517"/>
      <c r="D42" s="517"/>
      <c r="E42" s="517"/>
      <c r="F42" s="517"/>
      <c r="G42" s="517"/>
      <c r="H42" s="517"/>
      <c r="I42" s="517"/>
      <c r="J42" s="517"/>
      <c r="K42" s="529"/>
      <c r="L42" s="529"/>
      <c r="M42" s="529"/>
      <c r="N42" s="529"/>
      <c r="O42" s="529"/>
      <c r="P42" s="529"/>
      <c r="Q42" s="529"/>
      <c r="R42" s="529"/>
    </row>
    <row r="43" spans="1:39" ht="14.25" customHeight="1">
      <c r="A43" s="517"/>
      <c r="B43" s="517"/>
      <c r="C43" s="517"/>
      <c r="D43" s="517"/>
      <c r="E43" s="517"/>
      <c r="F43" s="517"/>
      <c r="G43" s="517"/>
      <c r="H43" s="517"/>
      <c r="I43" s="517"/>
      <c r="J43" s="517"/>
      <c r="K43" s="517"/>
      <c r="L43" s="517"/>
      <c r="M43" s="517"/>
      <c r="N43" s="517"/>
      <c r="O43" s="517"/>
      <c r="P43" s="517"/>
      <c r="Q43" s="517"/>
      <c r="R43" s="517"/>
    </row>
    <row r="44" spans="1:39" ht="12.75" customHeight="1">
      <c r="A44" s="530"/>
      <c r="B44" s="531"/>
      <c r="C44" s="520"/>
      <c r="D44" s="520"/>
      <c r="E44" s="520"/>
      <c r="F44" s="520"/>
      <c r="G44" s="520"/>
      <c r="H44" s="520"/>
      <c r="I44" s="520"/>
      <c r="J44" s="520"/>
      <c r="K44" s="520"/>
      <c r="L44" s="520"/>
      <c r="M44" s="520"/>
      <c r="N44" s="520"/>
      <c r="O44" s="532"/>
      <c r="P44" s="517"/>
      <c r="Q44" s="517"/>
      <c r="R44" s="517"/>
    </row>
    <row r="45" spans="1:39">
      <c r="A45" s="530"/>
      <c r="B45" s="531"/>
      <c r="C45" s="521"/>
      <c r="D45" s="521"/>
      <c r="E45" s="521"/>
      <c r="F45" s="521"/>
      <c r="G45" s="521"/>
      <c r="H45" s="521"/>
      <c r="I45" s="521"/>
      <c r="J45" s="521"/>
      <c r="K45" s="521"/>
      <c r="L45" s="521"/>
      <c r="M45" s="521"/>
      <c r="N45" s="521"/>
      <c r="O45" s="532"/>
      <c r="P45" s="517"/>
      <c r="Q45" s="517"/>
      <c r="R45" s="517"/>
    </row>
    <row r="46" spans="1:39">
      <c r="A46" s="533"/>
      <c r="B46" s="517"/>
      <c r="C46" s="534"/>
      <c r="D46" s="534"/>
      <c r="E46" s="534"/>
      <c r="F46" s="523"/>
      <c r="G46" s="522"/>
      <c r="H46" s="522"/>
      <c r="I46" s="522"/>
      <c r="J46" s="523"/>
      <c r="K46" s="523"/>
      <c r="L46" s="523"/>
      <c r="M46" s="523"/>
      <c r="N46" s="523"/>
      <c r="O46" s="517"/>
      <c r="P46" s="517"/>
      <c r="Q46" s="517"/>
      <c r="R46" s="517"/>
    </row>
    <row r="47" spans="1:39">
      <c r="A47" s="527"/>
      <c r="B47" s="527"/>
      <c r="C47" s="534"/>
      <c r="D47" s="534"/>
      <c r="E47" s="534"/>
      <c r="F47" s="523"/>
      <c r="G47" s="522"/>
      <c r="H47" s="522"/>
      <c r="I47" s="522"/>
      <c r="J47" s="523"/>
      <c r="K47" s="523"/>
      <c r="L47" s="523"/>
      <c r="M47" s="523"/>
      <c r="N47" s="523"/>
      <c r="O47" s="517"/>
      <c r="P47" s="517"/>
      <c r="Q47" s="517"/>
      <c r="R47" s="517"/>
    </row>
    <row r="48" spans="1:39">
      <c r="A48" s="535"/>
      <c r="B48" s="517"/>
      <c r="C48" s="522"/>
      <c r="D48" s="522"/>
      <c r="E48" s="522"/>
      <c r="F48" s="523"/>
      <c r="G48" s="522"/>
      <c r="H48" s="522"/>
      <c r="I48" s="522"/>
      <c r="J48" s="523"/>
      <c r="K48" s="523"/>
      <c r="L48" s="523"/>
      <c r="M48" s="523"/>
      <c r="N48" s="523"/>
      <c r="O48" s="517"/>
      <c r="P48" s="517"/>
      <c r="Q48" s="517"/>
      <c r="R48" s="517"/>
    </row>
    <row r="49" spans="1:18" s="518" customFormat="1">
      <c r="A49" s="535"/>
      <c r="B49" s="527"/>
      <c r="C49" s="522"/>
      <c r="D49" s="522"/>
      <c r="E49" s="522"/>
      <c r="F49" s="523"/>
      <c r="G49" s="522"/>
      <c r="H49" s="522"/>
      <c r="I49" s="522"/>
      <c r="J49" s="523"/>
      <c r="K49" s="523"/>
      <c r="L49" s="523"/>
      <c r="M49" s="523"/>
      <c r="N49" s="523"/>
      <c r="O49" s="517"/>
      <c r="P49" s="517"/>
      <c r="Q49" s="517"/>
      <c r="R49" s="517"/>
    </row>
    <row r="50" spans="1:18" s="518" customFormat="1">
      <c r="A50" s="535"/>
      <c r="B50" s="517"/>
      <c r="C50" s="522"/>
      <c r="D50" s="522"/>
      <c r="E50" s="522"/>
      <c r="F50" s="523"/>
      <c r="G50" s="522"/>
      <c r="H50" s="522"/>
      <c r="I50" s="522"/>
      <c r="J50" s="523"/>
      <c r="K50" s="523"/>
      <c r="L50" s="523"/>
      <c r="M50" s="523"/>
      <c r="N50" s="523"/>
      <c r="O50" s="517"/>
      <c r="P50" s="517"/>
      <c r="Q50" s="517"/>
      <c r="R50" s="517"/>
    </row>
    <row r="51" spans="1:18" s="518" customFormat="1">
      <c r="A51" s="535"/>
      <c r="B51" s="527"/>
      <c r="C51" s="522"/>
      <c r="D51" s="522"/>
      <c r="E51" s="522"/>
      <c r="F51" s="523"/>
      <c r="G51" s="522"/>
      <c r="H51" s="522"/>
      <c r="I51" s="522"/>
      <c r="J51" s="523"/>
      <c r="K51" s="523"/>
      <c r="L51" s="523"/>
      <c r="M51" s="523"/>
      <c r="N51" s="523"/>
      <c r="O51" s="517"/>
      <c r="P51" s="517"/>
      <c r="Q51" s="517"/>
      <c r="R51" s="517"/>
    </row>
    <row r="52" spans="1:18" s="518" customFormat="1">
      <c r="A52" s="535"/>
      <c r="B52" s="517"/>
      <c r="C52" s="522"/>
      <c r="D52" s="522"/>
      <c r="E52" s="522"/>
      <c r="F52" s="523"/>
      <c r="G52" s="522"/>
      <c r="H52" s="522"/>
      <c r="I52" s="522"/>
      <c r="J52" s="523"/>
      <c r="K52" s="523"/>
      <c r="L52" s="523"/>
      <c r="M52" s="523"/>
      <c r="N52" s="523"/>
      <c r="O52" s="517"/>
      <c r="P52" s="517"/>
      <c r="Q52" s="517"/>
      <c r="R52" s="517"/>
    </row>
    <row r="53" spans="1:18" s="518" customFormat="1">
      <c r="A53" s="535"/>
      <c r="B53" s="527"/>
      <c r="C53" s="522"/>
      <c r="D53" s="522"/>
      <c r="E53" s="522"/>
      <c r="F53" s="523"/>
      <c r="G53" s="522"/>
      <c r="H53" s="522"/>
      <c r="I53" s="522"/>
      <c r="J53" s="523"/>
      <c r="K53" s="523"/>
      <c r="L53" s="523"/>
      <c r="M53" s="523"/>
      <c r="N53" s="523"/>
      <c r="O53" s="517"/>
      <c r="P53" s="517"/>
      <c r="Q53" s="517"/>
      <c r="R53" s="517"/>
    </row>
    <row r="54" spans="1:18" s="518" customFormat="1">
      <c r="A54" s="535"/>
      <c r="B54" s="517"/>
      <c r="C54" s="522"/>
      <c r="D54" s="522"/>
      <c r="E54" s="522"/>
      <c r="F54" s="523"/>
      <c r="G54" s="522"/>
      <c r="H54" s="522"/>
      <c r="I54" s="522"/>
      <c r="J54" s="523"/>
      <c r="K54" s="523"/>
      <c r="L54" s="523"/>
      <c r="M54" s="523"/>
      <c r="N54" s="523"/>
      <c r="O54" s="517"/>
      <c r="P54" s="517"/>
      <c r="Q54" s="517"/>
      <c r="R54" s="517"/>
    </row>
    <row r="55" spans="1:18" s="518" customFormat="1">
      <c r="A55" s="517"/>
      <c r="B55" s="517"/>
      <c r="C55" s="517"/>
      <c r="D55" s="517"/>
      <c r="E55" s="517"/>
      <c r="F55" s="517"/>
      <c r="G55" s="517"/>
      <c r="H55" s="517"/>
      <c r="I55" s="517"/>
      <c r="J55" s="517"/>
      <c r="K55" s="517"/>
      <c r="L55" s="517"/>
      <c r="M55" s="517"/>
      <c r="N55" s="517"/>
      <c r="O55" s="517"/>
      <c r="P55" s="517"/>
      <c r="Q55" s="517"/>
      <c r="R55" s="517"/>
    </row>
    <row r="56" spans="1:18" s="517" customFormat="1"/>
    <row r="57" spans="1:18" s="517" customFormat="1"/>
    <row r="58" spans="1:18" s="517" customFormat="1"/>
    <row r="59" spans="1:18" s="517" customFormat="1"/>
    <row r="60" spans="1:18" s="517" customFormat="1"/>
    <row r="61" spans="1:18" s="517" customFormat="1"/>
    <row r="62" spans="1:18" s="517" customFormat="1"/>
    <row r="63" spans="1:18" s="517" customFormat="1"/>
    <row r="64" spans="1:18" s="517" customFormat="1"/>
    <row r="65" s="517" customFormat="1"/>
    <row r="66" s="517" customFormat="1"/>
    <row r="67" s="517" customFormat="1"/>
    <row r="68" s="517" customFormat="1"/>
    <row r="69" s="517" customFormat="1"/>
    <row r="70" s="517" customFormat="1"/>
    <row r="71" s="517" customFormat="1"/>
    <row r="72" s="517" customFormat="1"/>
    <row r="73" s="517" customFormat="1"/>
    <row r="74" s="517" customFormat="1"/>
    <row r="75" s="517" customFormat="1"/>
    <row r="76" s="517" customFormat="1"/>
    <row r="77" s="517" customFormat="1"/>
    <row r="78" s="517" customFormat="1"/>
    <row r="79" s="517" customFormat="1"/>
    <row r="80" s="517" customFormat="1"/>
    <row r="81" s="517" customFormat="1"/>
    <row r="82" s="517" customFormat="1"/>
    <row r="83" s="517" customFormat="1"/>
    <row r="84" s="517" customFormat="1"/>
    <row r="85" s="517" customFormat="1"/>
    <row r="86" s="517" customFormat="1"/>
  </sheetData>
  <mergeCells count="24">
    <mergeCell ref="K34:N34"/>
    <mergeCell ref="A24:A25"/>
    <mergeCell ref="B24:B25"/>
    <mergeCell ref="C24:F24"/>
    <mergeCell ref="G24:J24"/>
    <mergeCell ref="A34:A35"/>
    <mergeCell ref="B34:B35"/>
    <mergeCell ref="C34:F34"/>
    <mergeCell ref="G34:J34"/>
    <mergeCell ref="O15:R15"/>
    <mergeCell ref="A1:R1"/>
    <mergeCell ref="A2:R2"/>
    <mergeCell ref="Q4:R4"/>
    <mergeCell ref="A6:A7"/>
    <mergeCell ref="B6:B7"/>
    <mergeCell ref="C6:F6"/>
    <mergeCell ref="G6:J6"/>
    <mergeCell ref="K6:N6"/>
    <mergeCell ref="O6:R6"/>
    <mergeCell ref="A15:A16"/>
    <mergeCell ref="B15:B16"/>
    <mergeCell ref="C15:F15"/>
    <mergeCell ref="G15:J15"/>
    <mergeCell ref="K15:N15"/>
  </mergeCells>
  <printOptions horizontalCentered="1"/>
  <pageMargins left="0.19685039370078741" right="0.19685039370078741" top="0.94488188976377963" bottom="0.70866141732283472" header="0.19685039370078741" footer="0.51181102362204722"/>
  <pageSetup paperSize="9" scale="73" orientation="landscape" r:id="rId1"/>
  <headerFooter alignWithMargins="0">
    <oddHeader>&amp;C&amp;R13/a. számú melléklet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4" tint="0.59999389629810485"/>
  </sheetPr>
  <dimension ref="A1:AE105"/>
  <sheetViews>
    <sheetView workbookViewId="0">
      <selection activeCell="E32" sqref="E32"/>
    </sheetView>
  </sheetViews>
  <sheetFormatPr defaultColWidth="9.140625" defaultRowHeight="12.75"/>
  <cols>
    <col min="1" max="1" width="4.28515625" style="537" customWidth="1"/>
    <col min="2" max="2" width="19.28515625" style="537" customWidth="1"/>
    <col min="3" max="3" width="12.7109375" style="537" bestFit="1" customWidth="1"/>
    <col min="4" max="4" width="12.85546875" style="537" customWidth="1"/>
    <col min="5" max="5" width="14.28515625" style="537" customWidth="1"/>
    <col min="6" max="6" width="7.5703125" style="537" customWidth="1"/>
    <col min="7" max="9" width="11.28515625" style="537" bestFit="1" customWidth="1"/>
    <col min="10" max="10" width="6.5703125" style="537" bestFit="1" customWidth="1"/>
    <col min="11" max="12" width="11.140625" style="537" bestFit="1" customWidth="1"/>
    <col min="13" max="13" width="11.28515625" style="537" bestFit="1" customWidth="1"/>
    <col min="14" max="14" width="6.28515625" style="537" customWidth="1"/>
    <col min="15" max="15" width="7.5703125" style="536" customWidth="1"/>
    <col min="16" max="16" width="7.140625" style="536" customWidth="1"/>
    <col min="17" max="17" width="6.28515625" style="536" customWidth="1"/>
    <col min="18" max="31" width="9.140625" style="536"/>
    <col min="32" max="16384" width="9.140625" style="537"/>
  </cols>
  <sheetData>
    <row r="1" spans="1:31">
      <c r="A1" s="958" t="s">
        <v>1041</v>
      </c>
      <c r="B1" s="958"/>
      <c r="C1" s="958"/>
      <c r="D1" s="958"/>
      <c r="E1" s="958"/>
      <c r="F1" s="958"/>
      <c r="G1" s="958"/>
      <c r="H1" s="958"/>
      <c r="I1" s="958"/>
      <c r="J1" s="958"/>
      <c r="K1" s="958"/>
      <c r="L1" s="958"/>
      <c r="M1" s="958"/>
      <c r="N1" s="958"/>
    </row>
    <row r="2" spans="1:31" s="536" customFormat="1">
      <c r="A2" s="959" t="s">
        <v>1098</v>
      </c>
      <c r="B2" s="959"/>
      <c r="C2" s="959"/>
      <c r="D2" s="959"/>
      <c r="E2" s="959"/>
      <c r="F2" s="959"/>
      <c r="G2" s="959"/>
      <c r="H2" s="959"/>
      <c r="I2" s="959"/>
      <c r="J2" s="959"/>
      <c r="K2" s="959"/>
      <c r="L2" s="959"/>
      <c r="M2" s="959"/>
      <c r="N2" s="959"/>
    </row>
    <row r="3" spans="1:31" s="536" customFormat="1"/>
    <row r="4" spans="1:31" s="536" customFormat="1"/>
    <row r="5" spans="1:31" s="536" customFormat="1">
      <c r="M5" s="960" t="s">
        <v>198</v>
      </c>
      <c r="N5" s="960"/>
    </row>
    <row r="6" spans="1:31" ht="12.75" customHeight="1">
      <c r="A6" s="946" t="s">
        <v>20</v>
      </c>
      <c r="B6" s="947" t="s">
        <v>201</v>
      </c>
      <c r="C6" s="941" t="s">
        <v>185</v>
      </c>
      <c r="D6" s="941"/>
      <c r="E6" s="941"/>
      <c r="F6" s="941"/>
      <c r="G6" s="941" t="s">
        <v>1174</v>
      </c>
      <c r="H6" s="941"/>
      <c r="I6" s="941"/>
      <c r="J6" s="941"/>
      <c r="K6" s="941" t="s">
        <v>1175</v>
      </c>
      <c r="L6" s="941"/>
      <c r="M6" s="941"/>
      <c r="N6" s="941"/>
    </row>
    <row r="7" spans="1:31">
      <c r="A7" s="946"/>
      <c r="B7" s="947"/>
      <c r="C7" s="203" t="s">
        <v>203</v>
      </c>
      <c r="D7" s="203" t="s">
        <v>216</v>
      </c>
      <c r="E7" s="203" t="s">
        <v>205</v>
      </c>
      <c r="F7" s="203" t="s">
        <v>206</v>
      </c>
      <c r="G7" s="515" t="s">
        <v>203</v>
      </c>
      <c r="H7" s="515" t="s">
        <v>216</v>
      </c>
      <c r="I7" s="515" t="s">
        <v>205</v>
      </c>
      <c r="J7" s="515" t="s">
        <v>206</v>
      </c>
      <c r="K7" s="203" t="s">
        <v>171</v>
      </c>
      <c r="L7" s="203" t="s">
        <v>216</v>
      </c>
      <c r="M7" s="203" t="s">
        <v>205</v>
      </c>
      <c r="N7" s="203" t="s">
        <v>206</v>
      </c>
    </row>
    <row r="8" spans="1:31" s="539" customFormat="1">
      <c r="A8" s="204" t="s">
        <v>141</v>
      </c>
      <c r="B8" s="3" t="s">
        <v>25</v>
      </c>
      <c r="C8" s="18">
        <v>2000</v>
      </c>
      <c r="D8" s="18">
        <v>3688</v>
      </c>
      <c r="E8" s="18">
        <v>3688</v>
      </c>
      <c r="F8" s="223">
        <f>ROUND(E8/D8*100,2)</f>
        <v>100</v>
      </c>
      <c r="G8" s="18">
        <v>0</v>
      </c>
      <c r="H8" s="5">
        <v>0</v>
      </c>
      <c r="I8" s="18">
        <v>0</v>
      </c>
      <c r="J8" s="223">
        <v>0</v>
      </c>
      <c r="K8" s="5">
        <v>0</v>
      </c>
      <c r="L8" s="5">
        <v>0</v>
      </c>
      <c r="M8" s="5">
        <v>0</v>
      </c>
      <c r="N8" s="223">
        <v>0</v>
      </c>
      <c r="O8" s="536"/>
      <c r="P8" s="536"/>
      <c r="Q8" s="536"/>
      <c r="R8" s="536"/>
      <c r="S8" s="538"/>
      <c r="T8" s="538"/>
      <c r="U8" s="538"/>
      <c r="V8" s="538"/>
      <c r="W8" s="538"/>
      <c r="X8" s="538"/>
      <c r="Y8" s="538"/>
      <c r="Z8" s="538"/>
      <c r="AA8" s="538"/>
      <c r="AB8" s="538"/>
      <c r="AC8" s="538"/>
      <c r="AD8" s="538"/>
      <c r="AE8" s="538"/>
    </row>
    <row r="9" spans="1:31">
      <c r="A9" s="204" t="s">
        <v>142</v>
      </c>
      <c r="B9" s="3" t="s">
        <v>207</v>
      </c>
      <c r="C9" s="5">
        <v>30306940</v>
      </c>
      <c r="D9" s="5">
        <v>31359495</v>
      </c>
      <c r="E9" s="5">
        <v>31359495</v>
      </c>
      <c r="F9" s="205">
        <f>ROUND(E9/D9*100,2)</f>
        <v>100</v>
      </c>
      <c r="G9" s="5">
        <v>190751443</v>
      </c>
      <c r="H9" s="5">
        <v>184541469</v>
      </c>
      <c r="I9" s="5">
        <v>184541469</v>
      </c>
      <c r="J9" s="223">
        <f>ROUND(I9/H9*100,2)</f>
        <v>100</v>
      </c>
      <c r="K9" s="5">
        <v>0</v>
      </c>
      <c r="L9" s="5">
        <v>0</v>
      </c>
      <c r="M9" s="5">
        <v>0</v>
      </c>
      <c r="N9" s="223">
        <v>0</v>
      </c>
    </row>
    <row r="10" spans="1:31">
      <c r="A10" s="204" t="s">
        <v>143</v>
      </c>
      <c r="B10" s="3" t="s">
        <v>208</v>
      </c>
      <c r="C10" s="5">
        <v>11500</v>
      </c>
      <c r="D10" s="5">
        <v>14066</v>
      </c>
      <c r="E10" s="5">
        <v>14066</v>
      </c>
      <c r="F10" s="205">
        <f>ROUND(E10/D10*100,2)</f>
        <v>100</v>
      </c>
      <c r="G10" s="5">
        <v>98300357</v>
      </c>
      <c r="H10" s="5">
        <v>111325623</v>
      </c>
      <c r="I10" s="5">
        <v>111325623</v>
      </c>
      <c r="J10" s="223">
        <f>ROUND(I10/H10*100,2)</f>
        <v>100</v>
      </c>
      <c r="K10" s="5">
        <v>0</v>
      </c>
      <c r="L10" s="5">
        <v>242110</v>
      </c>
      <c r="M10" s="5">
        <v>242110</v>
      </c>
      <c r="N10" s="223">
        <f>ROUND(M10/L10*100,2)</f>
        <v>100</v>
      </c>
    </row>
    <row r="11" spans="1:31">
      <c r="A11" s="204" t="s">
        <v>147</v>
      </c>
      <c r="B11" s="3" t="s">
        <v>209</v>
      </c>
      <c r="C11" s="5">
        <v>3054284</v>
      </c>
      <c r="D11" s="5">
        <v>3169096</v>
      </c>
      <c r="E11" s="5">
        <v>3169096</v>
      </c>
      <c r="F11" s="205">
        <f>ROUND(E11/D11*100,2)</f>
        <v>100</v>
      </c>
      <c r="G11" s="5">
        <v>79559589</v>
      </c>
      <c r="H11" s="5">
        <v>92332066</v>
      </c>
      <c r="I11" s="5">
        <v>92332066</v>
      </c>
      <c r="J11" s="223">
        <f>ROUND(I11/H11*100,2)</f>
        <v>100</v>
      </c>
      <c r="K11" s="5">
        <v>0</v>
      </c>
      <c r="L11" s="5">
        <v>0</v>
      </c>
      <c r="M11" s="5">
        <v>0</v>
      </c>
      <c r="N11" s="223">
        <v>0</v>
      </c>
    </row>
    <row r="12" spans="1:31">
      <c r="A12" s="206" t="s">
        <v>148</v>
      </c>
      <c r="B12" s="207" t="s">
        <v>54</v>
      </c>
      <c r="C12" s="210">
        <f>SUM(C8:C11)</f>
        <v>33374724</v>
      </c>
      <c r="D12" s="210">
        <f>SUM(D8:D11)</f>
        <v>34546345</v>
      </c>
      <c r="E12" s="210">
        <f>SUM(E8:E11)</f>
        <v>34546345</v>
      </c>
      <c r="F12" s="211">
        <f>ROUND(E12/D12*100,2)</f>
        <v>100</v>
      </c>
      <c r="G12" s="468">
        <f>SUM(G8:G11)</f>
        <v>368611389</v>
      </c>
      <c r="H12" s="468">
        <f>SUM(H8:H11)</f>
        <v>388199158</v>
      </c>
      <c r="I12" s="468">
        <f>SUM(I8:I11)</f>
        <v>388199158</v>
      </c>
      <c r="J12" s="277">
        <f>ROUND(I12/H12*100,2)</f>
        <v>100</v>
      </c>
      <c r="K12" s="210">
        <f>SUM(K8:K11)</f>
        <v>0</v>
      </c>
      <c r="L12" s="210">
        <f>SUM(L8:L11)</f>
        <v>242110</v>
      </c>
      <c r="M12" s="210">
        <f>SUM(M8:M11)</f>
        <v>242110</v>
      </c>
      <c r="N12" s="211">
        <f>ROUND(M12/L12*100,2)</f>
        <v>100</v>
      </c>
    </row>
    <row r="13" spans="1:31">
      <c r="A13" s="480"/>
      <c r="B13" s="512"/>
      <c r="C13" s="219"/>
      <c r="D13" s="219"/>
      <c r="E13" s="219"/>
      <c r="F13" s="220"/>
      <c r="G13" s="219"/>
      <c r="H13" s="219"/>
      <c r="I13" s="219"/>
      <c r="J13" s="222"/>
      <c r="K13" s="219"/>
      <c r="L13" s="219"/>
      <c r="M13" s="219"/>
      <c r="N13" s="220"/>
      <c r="O13" s="537"/>
      <c r="P13" s="537"/>
      <c r="Q13" s="537"/>
      <c r="R13" s="537"/>
      <c r="S13" s="537"/>
      <c r="T13" s="537"/>
      <c r="U13" s="537"/>
      <c r="V13" s="537"/>
      <c r="W13" s="537"/>
      <c r="X13" s="537"/>
      <c r="Y13" s="537"/>
      <c r="Z13" s="537"/>
      <c r="AA13" s="537"/>
      <c r="AB13" s="537"/>
      <c r="AC13" s="537"/>
      <c r="AD13" s="537"/>
      <c r="AE13" s="537"/>
    </row>
    <row r="14" spans="1:31">
      <c r="A14" s="480"/>
      <c r="B14" s="512"/>
      <c r="C14" s="219"/>
      <c r="D14" s="219"/>
      <c r="E14" s="219"/>
      <c r="F14" s="220"/>
      <c r="G14" s="219"/>
      <c r="H14" s="219"/>
      <c r="I14" s="219"/>
      <c r="J14" s="222"/>
      <c r="K14" s="219"/>
      <c r="L14" s="219"/>
      <c r="M14" s="219"/>
      <c r="N14" s="220"/>
      <c r="O14" s="537"/>
      <c r="P14" s="537"/>
      <c r="Q14" s="537"/>
      <c r="R14" s="537"/>
      <c r="S14" s="537"/>
      <c r="T14" s="537"/>
      <c r="U14" s="537"/>
      <c r="V14" s="537"/>
      <c r="W14" s="537"/>
      <c r="X14" s="537"/>
      <c r="Y14" s="537"/>
      <c r="Z14" s="537"/>
      <c r="AA14" s="537"/>
      <c r="AB14" s="537"/>
      <c r="AC14" s="537"/>
      <c r="AD14" s="537"/>
      <c r="AE14" s="537"/>
    </row>
    <row r="15" spans="1:31">
      <c r="A15" s="946" t="s">
        <v>20</v>
      </c>
      <c r="B15" s="947" t="s">
        <v>201</v>
      </c>
      <c r="C15" s="941" t="s">
        <v>217</v>
      </c>
      <c r="D15" s="941"/>
      <c r="E15" s="941"/>
      <c r="F15" s="941"/>
      <c r="G15" s="941" t="s">
        <v>445</v>
      </c>
      <c r="H15" s="941"/>
      <c r="I15" s="941"/>
      <c r="J15" s="941"/>
      <c r="K15" s="941" t="s">
        <v>893</v>
      </c>
      <c r="L15" s="941"/>
      <c r="M15" s="941"/>
      <c r="N15" s="941"/>
      <c r="O15" s="537"/>
      <c r="P15" s="537"/>
      <c r="Q15" s="537"/>
      <c r="R15" s="537"/>
      <c r="S15" s="537"/>
      <c r="T15" s="537"/>
      <c r="U15" s="537"/>
      <c r="V15" s="537"/>
      <c r="W15" s="537"/>
      <c r="X15" s="537"/>
      <c r="Y15" s="537"/>
      <c r="Z15" s="537"/>
      <c r="AA15" s="537"/>
      <c r="AB15" s="537"/>
      <c r="AC15" s="537"/>
      <c r="AD15" s="537"/>
      <c r="AE15" s="537"/>
    </row>
    <row r="16" spans="1:31">
      <c r="A16" s="946"/>
      <c r="B16" s="947"/>
      <c r="C16" s="203" t="s">
        <v>171</v>
      </c>
      <c r="D16" s="203" t="s">
        <v>216</v>
      </c>
      <c r="E16" s="203" t="s">
        <v>205</v>
      </c>
      <c r="F16" s="203" t="s">
        <v>206</v>
      </c>
      <c r="G16" s="203" t="s">
        <v>171</v>
      </c>
      <c r="H16" s="203" t="s">
        <v>216</v>
      </c>
      <c r="I16" s="203" t="s">
        <v>205</v>
      </c>
      <c r="J16" s="203" t="s">
        <v>206</v>
      </c>
      <c r="K16" s="203" t="s">
        <v>171</v>
      </c>
      <c r="L16" s="203" t="s">
        <v>216</v>
      </c>
      <c r="M16" s="203" t="s">
        <v>205</v>
      </c>
      <c r="N16" s="203" t="s">
        <v>206</v>
      </c>
      <c r="O16" s="537"/>
      <c r="P16" s="537"/>
      <c r="Q16" s="537"/>
      <c r="R16" s="537"/>
      <c r="S16" s="537"/>
      <c r="T16" s="537"/>
      <c r="U16" s="537"/>
      <c r="V16" s="537"/>
      <c r="W16" s="537"/>
      <c r="X16" s="537"/>
      <c r="Y16" s="537"/>
      <c r="Z16" s="537"/>
      <c r="AA16" s="537"/>
      <c r="AB16" s="537"/>
      <c r="AC16" s="537"/>
      <c r="AD16" s="537"/>
      <c r="AE16" s="537"/>
    </row>
    <row r="17" spans="1:31">
      <c r="A17" s="204" t="s">
        <v>141</v>
      </c>
      <c r="B17" s="3" t="s">
        <v>25</v>
      </c>
      <c r="C17" s="18">
        <v>443155290</v>
      </c>
      <c r="D17" s="18">
        <v>472921672</v>
      </c>
      <c r="E17" s="18">
        <v>472921672</v>
      </c>
      <c r="F17" s="223">
        <f>ROUND(E17/D17*100,2)</f>
        <v>100</v>
      </c>
      <c r="G17" s="5">
        <v>92917</v>
      </c>
      <c r="H17" s="5">
        <v>335027</v>
      </c>
      <c r="I17" s="5">
        <v>335027</v>
      </c>
      <c r="J17" s="205">
        <f>ROUND(I17/H17*100,2)</f>
        <v>100</v>
      </c>
      <c r="K17" s="5">
        <f>26897792+2858850</f>
        <v>29756642</v>
      </c>
      <c r="L17" s="5">
        <v>29756642</v>
      </c>
      <c r="M17" s="5">
        <v>29756642</v>
      </c>
      <c r="N17" s="223">
        <f>ROUND(M17/L17*100,2)</f>
        <v>100</v>
      </c>
      <c r="O17" s="537"/>
      <c r="P17" s="537"/>
      <c r="Q17" s="537"/>
      <c r="R17" s="537"/>
      <c r="S17" s="537"/>
      <c r="T17" s="537"/>
      <c r="U17" s="537"/>
      <c r="V17" s="537"/>
      <c r="W17" s="537"/>
      <c r="X17" s="537"/>
      <c r="Y17" s="537"/>
      <c r="Z17" s="537"/>
      <c r="AA17" s="537"/>
      <c r="AB17" s="537"/>
      <c r="AC17" s="537"/>
      <c r="AD17" s="537"/>
      <c r="AE17" s="537"/>
    </row>
    <row r="18" spans="1:31">
      <c r="A18" s="204" t="s">
        <v>142</v>
      </c>
      <c r="B18" s="3" t="s">
        <v>207</v>
      </c>
      <c r="C18" s="5">
        <v>44548805</v>
      </c>
      <c r="D18" s="5">
        <v>41529651</v>
      </c>
      <c r="E18" s="5">
        <v>41529651</v>
      </c>
      <c r="F18" s="223">
        <f>ROUND(E18/D18*100,2)</f>
        <v>100</v>
      </c>
      <c r="G18" s="5">
        <v>450000</v>
      </c>
      <c r="H18" s="5">
        <v>450000</v>
      </c>
      <c r="I18" s="5">
        <v>450000</v>
      </c>
      <c r="J18" s="205">
        <f>ROUND(I18/H18*100,2)</f>
        <v>100</v>
      </c>
      <c r="K18" s="5">
        <v>28978829</v>
      </c>
      <c r="L18" s="5">
        <v>28978829</v>
      </c>
      <c r="M18" s="5">
        <v>28978829</v>
      </c>
      <c r="N18" s="223">
        <f>ROUND(M18/L18*100,2)</f>
        <v>100</v>
      </c>
      <c r="O18" s="537"/>
      <c r="P18" s="537"/>
      <c r="Q18" s="537"/>
      <c r="R18" s="537"/>
      <c r="S18" s="537"/>
      <c r="T18" s="537"/>
      <c r="U18" s="537"/>
      <c r="V18" s="537"/>
      <c r="W18" s="537"/>
      <c r="X18" s="537"/>
      <c r="Y18" s="537"/>
      <c r="Z18" s="537"/>
      <c r="AA18" s="537"/>
      <c r="AB18" s="537"/>
      <c r="AC18" s="537"/>
      <c r="AD18" s="537"/>
      <c r="AE18" s="537"/>
    </row>
    <row r="19" spans="1:31">
      <c r="A19" s="204" t="s">
        <v>143</v>
      </c>
      <c r="B19" s="3" t="s">
        <v>208</v>
      </c>
      <c r="C19" s="5">
        <v>65528972</v>
      </c>
      <c r="D19" s="5">
        <v>66715959</v>
      </c>
      <c r="E19" s="5">
        <v>66715959</v>
      </c>
      <c r="F19" s="223">
        <f>ROUND(E19/D19*100,2)</f>
        <v>100</v>
      </c>
      <c r="G19" s="5">
        <v>250000</v>
      </c>
      <c r="H19" s="5">
        <v>250000</v>
      </c>
      <c r="I19" s="5">
        <v>250000</v>
      </c>
      <c r="J19" s="205">
        <f>ROUND(I19/H19*100,2)</f>
        <v>100</v>
      </c>
      <c r="K19" s="5">
        <f>22889754+4750</f>
        <v>22894504</v>
      </c>
      <c r="L19" s="5">
        <v>22894504</v>
      </c>
      <c r="M19" s="5">
        <v>22894504</v>
      </c>
      <c r="N19" s="223">
        <f>ROUND(M19/L19*100,2)</f>
        <v>100</v>
      </c>
      <c r="O19" s="537"/>
      <c r="P19" s="537"/>
      <c r="Q19" s="537"/>
      <c r="R19" s="537"/>
      <c r="S19" s="537"/>
      <c r="T19" s="537"/>
      <c r="U19" s="537"/>
      <c r="V19" s="537"/>
      <c r="W19" s="537"/>
      <c r="X19" s="537"/>
      <c r="Y19" s="537"/>
      <c r="Z19" s="537"/>
      <c r="AA19" s="537"/>
      <c r="AB19" s="537"/>
      <c r="AC19" s="537"/>
      <c r="AD19" s="537"/>
      <c r="AE19" s="537"/>
    </row>
    <row r="20" spans="1:31">
      <c r="A20" s="204" t="s">
        <v>147</v>
      </c>
      <c r="B20" s="3" t="s">
        <v>209</v>
      </c>
      <c r="C20" s="5">
        <v>13661981</v>
      </c>
      <c r="D20" s="5">
        <v>13554074</v>
      </c>
      <c r="E20" s="5">
        <v>13554074</v>
      </c>
      <c r="F20" s="223">
        <f>ROUND(E20/D20*100,2)</f>
        <v>100</v>
      </c>
      <c r="G20" s="5">
        <v>100000</v>
      </c>
      <c r="H20" s="5">
        <v>100000</v>
      </c>
      <c r="I20" s="5">
        <v>100000</v>
      </c>
      <c r="J20" s="205">
        <f>ROUND(I20/H20*100,2)</f>
        <v>100</v>
      </c>
      <c r="K20" s="5">
        <f>7274878+10246</f>
        <v>7285124</v>
      </c>
      <c r="L20" s="5">
        <v>7285124</v>
      </c>
      <c r="M20" s="5">
        <v>7285124</v>
      </c>
      <c r="N20" s="223">
        <f>ROUND(M20/L20*100,2)</f>
        <v>100</v>
      </c>
      <c r="O20" s="537"/>
      <c r="P20" s="537"/>
      <c r="Q20" s="537"/>
      <c r="R20" s="537"/>
      <c r="S20" s="537"/>
      <c r="T20" s="537"/>
      <c r="U20" s="537"/>
      <c r="V20" s="537"/>
      <c r="W20" s="537"/>
      <c r="X20" s="537"/>
      <c r="Y20" s="537"/>
      <c r="Z20" s="537"/>
      <c r="AA20" s="537"/>
      <c r="AB20" s="537"/>
      <c r="AC20" s="537"/>
      <c r="AD20" s="537"/>
      <c r="AE20" s="537"/>
    </row>
    <row r="21" spans="1:31">
      <c r="A21" s="206" t="s">
        <v>148</v>
      </c>
      <c r="B21" s="207" t="s">
        <v>54</v>
      </c>
      <c r="C21" s="468">
        <f>SUM(C17:C20)</f>
        <v>566895048</v>
      </c>
      <c r="D21" s="468">
        <f>SUM(D17:D20)</f>
        <v>594721356</v>
      </c>
      <c r="E21" s="468">
        <f>SUM(E17:E20)</f>
        <v>594721356</v>
      </c>
      <c r="F21" s="277">
        <f>ROUND(E21/D21*100,2)</f>
        <v>100</v>
      </c>
      <c r="G21" s="210">
        <f>SUM(G17:G20)</f>
        <v>892917</v>
      </c>
      <c r="H21" s="210">
        <f>SUM(H17:H20)</f>
        <v>1135027</v>
      </c>
      <c r="I21" s="210">
        <f>SUM(I17:I20)</f>
        <v>1135027</v>
      </c>
      <c r="J21" s="211">
        <f>ROUND(I21/H21*100,2)</f>
        <v>100</v>
      </c>
      <c r="K21" s="210">
        <f>SUM(K17:K20)</f>
        <v>88915099</v>
      </c>
      <c r="L21" s="210">
        <f>SUM(L17:L20)</f>
        <v>88915099</v>
      </c>
      <c r="M21" s="210">
        <f>SUM(M17:M20)</f>
        <v>88915099</v>
      </c>
      <c r="N21" s="728">
        <f>ROUND(M21/L21*100,2)</f>
        <v>100</v>
      </c>
      <c r="O21" s="537"/>
      <c r="P21" s="537"/>
      <c r="Q21" s="537"/>
      <c r="R21" s="537"/>
      <c r="S21" s="537"/>
      <c r="T21" s="537"/>
      <c r="U21" s="537"/>
      <c r="V21" s="537"/>
      <c r="W21" s="537"/>
      <c r="X21" s="537"/>
      <c r="Y21" s="537"/>
      <c r="Z21" s="537"/>
      <c r="AA21" s="537"/>
      <c r="AB21" s="537"/>
      <c r="AC21" s="537"/>
      <c r="AD21" s="537"/>
      <c r="AE21" s="537"/>
    </row>
    <row r="22" spans="1:31">
      <c r="A22" s="480"/>
      <c r="B22" s="512"/>
      <c r="C22" s="219"/>
      <c r="D22" s="219"/>
      <c r="E22" s="219"/>
      <c r="F22" s="220"/>
      <c r="G22" s="219"/>
      <c r="H22" s="219"/>
      <c r="I22" s="219"/>
      <c r="J22" s="222"/>
      <c r="K22" s="219"/>
      <c r="L22" s="219"/>
      <c r="M22" s="219"/>
      <c r="N22" s="220"/>
      <c r="O22" s="537"/>
      <c r="P22" s="537"/>
      <c r="Q22" s="537"/>
      <c r="R22" s="537"/>
      <c r="S22" s="537"/>
      <c r="T22" s="537"/>
      <c r="U22" s="537"/>
      <c r="V22" s="537"/>
      <c r="W22" s="537"/>
      <c r="X22" s="537"/>
      <c r="Y22" s="537"/>
      <c r="Z22" s="537"/>
      <c r="AA22" s="537"/>
      <c r="AB22" s="537"/>
      <c r="AC22" s="537"/>
      <c r="AD22" s="537"/>
      <c r="AE22" s="537"/>
    </row>
    <row r="23" spans="1:31">
      <c r="A23" s="480"/>
      <c r="B23" s="512"/>
      <c r="C23" s="219"/>
      <c r="D23" s="219"/>
      <c r="E23" s="219"/>
      <c r="F23" s="220"/>
      <c r="G23" s="219"/>
      <c r="H23" s="219"/>
      <c r="I23" s="219"/>
      <c r="J23" s="222"/>
      <c r="K23" s="219"/>
      <c r="L23" s="219"/>
      <c r="M23" s="219"/>
      <c r="N23" s="220"/>
      <c r="O23" s="537"/>
      <c r="P23" s="537"/>
      <c r="Q23" s="537"/>
      <c r="R23" s="537"/>
      <c r="S23" s="537"/>
      <c r="T23" s="537"/>
      <c r="U23" s="537"/>
      <c r="V23" s="537"/>
      <c r="W23" s="537"/>
      <c r="X23" s="537"/>
      <c r="Y23" s="537"/>
      <c r="Z23" s="537"/>
      <c r="AA23" s="537"/>
      <c r="AB23" s="537"/>
      <c r="AC23" s="537"/>
      <c r="AD23" s="537"/>
      <c r="AE23" s="537"/>
    </row>
    <row r="24" spans="1:31">
      <c r="A24" s="480"/>
      <c r="B24" s="512"/>
      <c r="C24" s="219"/>
      <c r="D24" s="219"/>
      <c r="E24" s="219"/>
      <c r="F24" s="220"/>
      <c r="G24" s="219"/>
      <c r="H24" s="219"/>
      <c r="I24" s="219"/>
      <c r="J24" s="222"/>
      <c r="K24" s="219"/>
      <c r="L24" s="219"/>
      <c r="M24" s="219"/>
      <c r="N24" s="220"/>
      <c r="O24" s="537"/>
      <c r="P24" s="537"/>
      <c r="Q24" s="537"/>
      <c r="R24" s="537"/>
      <c r="S24" s="537"/>
      <c r="T24" s="537"/>
      <c r="U24" s="537"/>
      <c r="V24" s="537"/>
      <c r="W24" s="537"/>
      <c r="X24" s="537"/>
      <c r="Y24" s="537"/>
      <c r="Z24" s="537"/>
      <c r="AA24" s="537"/>
      <c r="AB24" s="537"/>
      <c r="AC24" s="537"/>
      <c r="AD24" s="537"/>
      <c r="AE24" s="537"/>
    </row>
    <row r="25" spans="1:31" s="541" customFormat="1" ht="12" customHeight="1">
      <c r="A25" s="512"/>
      <c r="B25" s="512"/>
      <c r="C25" s="512"/>
      <c r="D25" s="512"/>
      <c r="E25" s="512"/>
      <c r="F25" s="512"/>
      <c r="G25" s="512"/>
      <c r="H25" s="512"/>
      <c r="I25" s="512"/>
      <c r="J25" s="512"/>
      <c r="K25" s="512"/>
      <c r="L25" s="512"/>
      <c r="M25" s="512"/>
      <c r="N25" s="512"/>
      <c r="O25" s="540"/>
      <c r="P25" s="540"/>
      <c r="Q25" s="540"/>
      <c r="R25" s="540"/>
      <c r="S25" s="540"/>
      <c r="T25" s="540"/>
      <c r="U25" s="540"/>
      <c r="V25" s="540"/>
      <c r="W25" s="540"/>
      <c r="X25" s="540"/>
      <c r="Y25" s="540"/>
      <c r="Z25" s="540"/>
      <c r="AA25" s="540"/>
      <c r="AB25" s="540"/>
      <c r="AC25" s="540"/>
      <c r="AD25" s="540"/>
      <c r="AE25" s="540"/>
    </row>
    <row r="26" spans="1:31" s="536" customFormat="1" ht="14.25" customHeight="1">
      <c r="A26" s="512"/>
      <c r="B26" s="512"/>
      <c r="C26" s="512"/>
      <c r="D26" s="512"/>
      <c r="E26" s="512"/>
      <c r="F26" s="512"/>
      <c r="G26" s="512"/>
      <c r="H26" s="512"/>
      <c r="I26" s="512"/>
      <c r="J26" s="512"/>
      <c r="K26" s="512"/>
      <c r="L26" s="512"/>
      <c r="M26" s="512"/>
      <c r="N26" s="512"/>
    </row>
    <row r="27" spans="1:31" s="536" customFormat="1" ht="21.75" customHeight="1">
      <c r="A27" s="961" t="s">
        <v>20</v>
      </c>
      <c r="B27" s="962" t="s">
        <v>201</v>
      </c>
      <c r="C27" s="963" t="s">
        <v>420</v>
      </c>
      <c r="D27" s="963"/>
      <c r="E27" s="963"/>
      <c r="F27" s="963"/>
      <c r="G27" s="949"/>
      <c r="H27" s="949"/>
      <c r="I27" s="949"/>
      <c r="J27" s="949"/>
      <c r="K27" s="949"/>
      <c r="L27" s="949"/>
      <c r="M27" s="949"/>
      <c r="N27" s="949"/>
    </row>
    <row r="28" spans="1:31" ht="12.75" customHeight="1">
      <c r="A28" s="961"/>
      <c r="B28" s="962"/>
      <c r="C28" s="516" t="s">
        <v>171</v>
      </c>
      <c r="D28" s="516" t="s">
        <v>216</v>
      </c>
      <c r="E28" s="516" t="s">
        <v>205</v>
      </c>
      <c r="F28" s="516" t="s">
        <v>206</v>
      </c>
      <c r="G28" s="513"/>
      <c r="H28" s="513"/>
      <c r="I28" s="513"/>
      <c r="J28" s="513"/>
      <c r="K28" s="513"/>
      <c r="L28" s="513"/>
      <c r="M28" s="513"/>
      <c r="N28" s="513"/>
    </row>
    <row r="29" spans="1:31">
      <c r="A29" s="270" t="s">
        <v>141</v>
      </c>
      <c r="B29" s="271" t="s">
        <v>25</v>
      </c>
      <c r="C29" s="70">
        <f>C8+G8+K8+C17+G17+K17</f>
        <v>473006849</v>
      </c>
      <c r="D29" s="70">
        <f t="shared" ref="D29:E32" si="0">D8+H8+L8+D17+H17+L17</f>
        <v>503017029</v>
      </c>
      <c r="E29" s="70">
        <f>E8+I8+M8+E17+I17+M17</f>
        <v>503017029</v>
      </c>
      <c r="F29" s="272">
        <f>ROUND(E29/D29*100,2)</f>
        <v>100</v>
      </c>
      <c r="G29" s="219"/>
      <c r="H29" s="219"/>
      <c r="I29" s="219"/>
      <c r="J29" s="220"/>
      <c r="K29" s="219"/>
      <c r="L29" s="219"/>
      <c r="M29" s="219"/>
      <c r="N29" s="220"/>
    </row>
    <row r="30" spans="1:31">
      <c r="A30" s="270" t="s">
        <v>142</v>
      </c>
      <c r="B30" s="271" t="s">
        <v>207</v>
      </c>
      <c r="C30" s="70">
        <f t="shared" ref="C30:C32" si="1">C9+G9+K9+C18+G18+K18</f>
        <v>295036017</v>
      </c>
      <c r="D30" s="70">
        <f t="shared" si="0"/>
        <v>286859444</v>
      </c>
      <c r="E30" s="70">
        <f t="shared" si="0"/>
        <v>286859444</v>
      </c>
      <c r="F30" s="272">
        <f>ROUND(E30/D30*100,2)</f>
        <v>100</v>
      </c>
      <c r="G30" s="219"/>
      <c r="H30" s="219"/>
      <c r="I30" s="219"/>
      <c r="J30" s="220"/>
      <c r="K30" s="219"/>
      <c r="L30" s="219"/>
      <c r="M30" s="219"/>
      <c r="N30" s="219"/>
    </row>
    <row r="31" spans="1:31">
      <c r="A31" s="270" t="s">
        <v>143</v>
      </c>
      <c r="B31" s="271" t="s">
        <v>208</v>
      </c>
      <c r="C31" s="70">
        <f t="shared" si="1"/>
        <v>186985333</v>
      </c>
      <c r="D31" s="70">
        <f t="shared" si="0"/>
        <v>201442262</v>
      </c>
      <c r="E31" s="70">
        <f t="shared" si="0"/>
        <v>201442262</v>
      </c>
      <c r="F31" s="272">
        <f>ROUND(E31/D31*100,2)</f>
        <v>100</v>
      </c>
      <c r="G31" s="219"/>
      <c r="H31" s="219"/>
      <c r="I31" s="219"/>
      <c r="J31" s="219"/>
      <c r="K31" s="219"/>
      <c r="L31" s="219"/>
      <c r="M31" s="219"/>
      <c r="N31" s="219"/>
    </row>
    <row r="32" spans="1:31">
      <c r="A32" s="270" t="s">
        <v>147</v>
      </c>
      <c r="B32" s="271" t="s">
        <v>209</v>
      </c>
      <c r="C32" s="70">
        <f t="shared" si="1"/>
        <v>103660978</v>
      </c>
      <c r="D32" s="70">
        <f t="shared" si="0"/>
        <v>116440360</v>
      </c>
      <c r="E32" s="70">
        <f t="shared" si="0"/>
        <v>116440360</v>
      </c>
      <c r="F32" s="272">
        <f>ROUND(E32/D32*100,2)</f>
        <v>100</v>
      </c>
      <c r="G32" s="219"/>
      <c r="H32" s="219"/>
      <c r="I32" s="219"/>
      <c r="J32" s="219"/>
      <c r="K32" s="219"/>
      <c r="L32" s="219"/>
      <c r="M32" s="219"/>
      <c r="N32" s="219"/>
    </row>
    <row r="33" spans="1:14">
      <c r="A33" s="273" t="s">
        <v>148</v>
      </c>
      <c r="B33" s="274" t="s">
        <v>54</v>
      </c>
      <c r="C33" s="278">
        <f>SUM(C29:C32)</f>
        <v>1058689177</v>
      </c>
      <c r="D33" s="278">
        <f>SUM(D29:D32)</f>
        <v>1107759095</v>
      </c>
      <c r="E33" s="278">
        <f>SUM(E29:E32)</f>
        <v>1107759095</v>
      </c>
      <c r="F33" s="279">
        <f>ROUND(E33/D33*100,2)</f>
        <v>100</v>
      </c>
      <c r="G33" s="219"/>
      <c r="H33" s="219"/>
      <c r="I33" s="219"/>
      <c r="J33" s="220"/>
      <c r="K33" s="219"/>
      <c r="L33" s="219"/>
      <c r="M33" s="219"/>
      <c r="N33" s="219"/>
    </row>
    <row r="34" spans="1:14">
      <c r="A34" s="536"/>
      <c r="B34" s="536"/>
      <c r="C34" s="536"/>
      <c r="D34" s="536"/>
      <c r="E34" s="536"/>
      <c r="F34" s="536"/>
      <c r="G34" s="542"/>
      <c r="H34" s="542"/>
      <c r="I34" s="542"/>
      <c r="J34" s="542"/>
      <c r="K34" s="542"/>
      <c r="L34" s="542"/>
      <c r="M34" s="542"/>
      <c r="N34" s="542"/>
    </row>
    <row r="35" spans="1:14">
      <c r="A35" s="536"/>
      <c r="B35" s="536"/>
      <c r="C35" s="536"/>
      <c r="D35" s="536"/>
      <c r="E35" s="536"/>
      <c r="F35" s="536"/>
      <c r="G35" s="542"/>
      <c r="H35" s="542"/>
      <c r="I35" s="542"/>
      <c r="J35" s="542"/>
      <c r="K35" s="542"/>
      <c r="L35" s="542"/>
      <c r="M35" s="542"/>
      <c r="N35" s="542"/>
    </row>
    <row r="36" spans="1:14">
      <c r="A36" s="536"/>
      <c r="B36" s="536"/>
      <c r="C36" s="536"/>
      <c r="D36" s="536"/>
      <c r="E36" s="536"/>
      <c r="F36" s="536"/>
      <c r="G36" s="542"/>
      <c r="H36" s="542"/>
      <c r="I36" s="542"/>
      <c r="J36" s="542"/>
      <c r="K36" s="542"/>
      <c r="L36" s="542"/>
      <c r="M36" s="542"/>
      <c r="N36" s="542"/>
    </row>
    <row r="37" spans="1:14">
      <c r="A37" s="536"/>
      <c r="B37" s="536"/>
      <c r="C37" s="536"/>
      <c r="D37" s="536"/>
      <c r="E37" s="536"/>
      <c r="F37" s="536"/>
      <c r="G37" s="536"/>
      <c r="H37" s="536"/>
      <c r="I37" s="536"/>
      <c r="J37" s="536"/>
      <c r="K37" s="536"/>
      <c r="L37" s="536"/>
      <c r="M37" s="536"/>
      <c r="N37" s="536"/>
    </row>
    <row r="38" spans="1:14">
      <c r="A38" s="536"/>
      <c r="B38" s="536"/>
      <c r="C38" s="536"/>
      <c r="D38" s="536"/>
      <c r="E38" s="536"/>
      <c r="F38" s="536"/>
      <c r="G38" s="536"/>
      <c r="H38" s="536"/>
      <c r="I38" s="536"/>
      <c r="J38" s="536"/>
      <c r="K38" s="536"/>
      <c r="L38" s="536"/>
      <c r="M38" s="536"/>
      <c r="N38" s="536"/>
    </row>
    <row r="39" spans="1:14">
      <c r="A39" s="536"/>
      <c r="B39" s="536"/>
      <c r="C39" s="536"/>
      <c r="D39" s="536"/>
      <c r="E39" s="536"/>
      <c r="F39" s="536"/>
      <c r="G39" s="536"/>
      <c r="H39" s="536"/>
      <c r="I39" s="536"/>
      <c r="J39" s="536"/>
      <c r="K39" s="536"/>
      <c r="L39" s="536"/>
      <c r="M39" s="536"/>
      <c r="N39" s="536"/>
    </row>
    <row r="40" spans="1:14">
      <c r="A40" s="536"/>
      <c r="B40" s="536"/>
      <c r="C40" s="536"/>
      <c r="D40" s="536"/>
      <c r="E40" s="536"/>
      <c r="F40" s="536"/>
      <c r="G40" s="536"/>
      <c r="H40" s="536"/>
      <c r="I40" s="536"/>
      <c r="J40" s="536"/>
      <c r="K40" s="536"/>
      <c r="L40" s="536"/>
      <c r="M40" s="536"/>
      <c r="N40" s="536"/>
    </row>
    <row r="41" spans="1:14">
      <c r="A41" s="536"/>
      <c r="B41" s="536"/>
      <c r="C41" s="536"/>
      <c r="D41" s="536"/>
      <c r="E41" s="536"/>
      <c r="F41" s="536"/>
      <c r="G41" s="536"/>
      <c r="H41" s="536"/>
      <c r="I41" s="536"/>
      <c r="J41" s="536"/>
      <c r="K41" s="536"/>
      <c r="L41" s="536"/>
      <c r="M41" s="536"/>
      <c r="N41" s="536"/>
    </row>
    <row r="42" spans="1:14">
      <c r="A42" s="536"/>
      <c r="B42" s="536"/>
      <c r="C42" s="536"/>
      <c r="D42" s="536"/>
      <c r="E42" s="536"/>
      <c r="F42" s="536"/>
      <c r="G42" s="536"/>
      <c r="H42" s="536"/>
      <c r="I42" s="536"/>
      <c r="J42" s="536"/>
      <c r="K42" s="536"/>
      <c r="L42" s="536"/>
      <c r="M42" s="536"/>
      <c r="N42" s="536"/>
    </row>
    <row r="43" spans="1:14">
      <c r="A43" s="536"/>
      <c r="B43" s="536"/>
      <c r="C43" s="536"/>
      <c r="D43" s="536"/>
      <c r="E43" s="536"/>
      <c r="F43" s="536"/>
      <c r="G43" s="536"/>
      <c r="H43" s="536"/>
      <c r="I43" s="536"/>
      <c r="J43" s="536"/>
      <c r="K43" s="536"/>
      <c r="L43" s="536"/>
      <c r="M43" s="536"/>
      <c r="N43" s="536"/>
    </row>
    <row r="44" spans="1:14">
      <c r="A44" s="536"/>
      <c r="B44" s="536"/>
      <c r="C44" s="536"/>
      <c r="D44" s="536"/>
      <c r="E44" s="536"/>
      <c r="F44" s="536"/>
      <c r="G44" s="536"/>
      <c r="H44" s="536"/>
      <c r="I44" s="536"/>
      <c r="J44" s="536"/>
      <c r="K44" s="536"/>
      <c r="L44" s="536"/>
      <c r="M44" s="536"/>
      <c r="N44" s="536"/>
    </row>
    <row r="45" spans="1:14">
      <c r="A45" s="536"/>
      <c r="B45" s="536"/>
      <c r="C45" s="536"/>
      <c r="D45" s="536"/>
      <c r="E45" s="536"/>
      <c r="F45" s="536"/>
      <c r="G45" s="536"/>
      <c r="H45" s="536"/>
      <c r="I45" s="536"/>
      <c r="J45" s="536"/>
      <c r="K45" s="536"/>
      <c r="L45" s="536"/>
      <c r="M45" s="536"/>
      <c r="N45" s="536"/>
    </row>
    <row r="46" spans="1:14">
      <c r="A46" s="536"/>
      <c r="B46" s="536"/>
      <c r="C46" s="536"/>
      <c r="D46" s="536"/>
      <c r="E46" s="536"/>
      <c r="F46" s="536"/>
      <c r="G46" s="536"/>
      <c r="H46" s="536"/>
      <c r="I46" s="536"/>
      <c r="J46" s="536"/>
      <c r="K46" s="536"/>
      <c r="L46" s="536"/>
      <c r="M46" s="536"/>
      <c r="N46" s="536"/>
    </row>
    <row r="47" spans="1:14">
      <c r="A47" s="536"/>
      <c r="B47" s="536"/>
      <c r="C47" s="536"/>
      <c r="D47" s="536"/>
      <c r="E47" s="536"/>
      <c r="F47" s="536"/>
      <c r="G47" s="536"/>
      <c r="H47" s="536"/>
      <c r="I47" s="536"/>
      <c r="J47" s="536"/>
      <c r="K47" s="536"/>
      <c r="L47" s="536"/>
      <c r="M47" s="536"/>
      <c r="N47" s="536"/>
    </row>
    <row r="48" spans="1:14">
      <c r="A48" s="536"/>
      <c r="B48" s="536"/>
      <c r="C48" s="536"/>
      <c r="D48" s="536"/>
      <c r="E48" s="536"/>
      <c r="F48" s="536"/>
      <c r="G48" s="536"/>
      <c r="H48" s="536"/>
      <c r="I48" s="536"/>
      <c r="J48" s="536"/>
      <c r="K48" s="536"/>
      <c r="L48" s="536"/>
      <c r="M48" s="536"/>
      <c r="N48" s="536"/>
    </row>
    <row r="49" spans="1:14">
      <c r="A49" s="536"/>
      <c r="B49" s="536"/>
      <c r="C49" s="536"/>
      <c r="D49" s="536"/>
      <c r="E49" s="536"/>
      <c r="F49" s="536"/>
      <c r="G49" s="536"/>
      <c r="H49" s="536"/>
      <c r="I49" s="536"/>
      <c r="J49" s="536"/>
      <c r="K49" s="536"/>
      <c r="L49" s="536"/>
      <c r="M49" s="536"/>
      <c r="N49" s="536"/>
    </row>
    <row r="50" spans="1:14">
      <c r="A50" s="536"/>
      <c r="B50" s="536"/>
      <c r="C50" s="536"/>
      <c r="D50" s="536"/>
      <c r="E50" s="536"/>
      <c r="F50" s="536"/>
      <c r="G50" s="536"/>
      <c r="H50" s="536"/>
      <c r="I50" s="536"/>
      <c r="J50" s="536"/>
      <c r="K50" s="536"/>
      <c r="L50" s="536"/>
      <c r="M50" s="536"/>
      <c r="N50" s="536"/>
    </row>
    <row r="51" spans="1:14">
      <c r="A51" s="536"/>
      <c r="B51" s="536"/>
      <c r="C51" s="536"/>
      <c r="D51" s="536"/>
      <c r="E51" s="536"/>
      <c r="F51" s="536"/>
      <c r="G51" s="536"/>
      <c r="H51" s="536"/>
      <c r="I51" s="536"/>
      <c r="J51" s="536"/>
      <c r="K51" s="536"/>
      <c r="L51" s="536"/>
      <c r="M51" s="536"/>
      <c r="N51" s="536"/>
    </row>
    <row r="52" spans="1:14">
      <c r="A52" s="536"/>
      <c r="B52" s="536"/>
      <c r="C52" s="536"/>
      <c r="D52" s="536"/>
      <c r="E52" s="536"/>
      <c r="F52" s="536"/>
      <c r="G52" s="536"/>
      <c r="H52" s="536"/>
      <c r="I52" s="536"/>
      <c r="J52" s="536"/>
      <c r="K52" s="536"/>
      <c r="L52" s="536"/>
      <c r="M52" s="536"/>
      <c r="N52" s="536"/>
    </row>
    <row r="53" spans="1:14">
      <c r="A53" s="536"/>
      <c r="B53" s="536"/>
      <c r="C53" s="536"/>
      <c r="D53" s="536"/>
      <c r="E53" s="536"/>
      <c r="F53" s="536"/>
      <c r="G53" s="536"/>
      <c r="H53" s="536"/>
      <c r="I53" s="536"/>
      <c r="J53" s="536"/>
      <c r="K53" s="536"/>
      <c r="L53" s="536"/>
      <c r="M53" s="536"/>
      <c r="N53" s="536"/>
    </row>
    <row r="54" spans="1:14">
      <c r="A54" s="536"/>
      <c r="B54" s="536"/>
      <c r="C54" s="536"/>
      <c r="D54" s="536"/>
      <c r="E54" s="536"/>
      <c r="F54" s="536"/>
      <c r="G54" s="536"/>
      <c r="H54" s="536"/>
      <c r="I54" s="536"/>
      <c r="J54" s="536"/>
      <c r="K54" s="536"/>
      <c r="L54" s="536"/>
      <c r="M54" s="536"/>
      <c r="N54" s="536"/>
    </row>
    <row r="55" spans="1:14">
      <c r="A55" s="536"/>
      <c r="B55" s="536"/>
      <c r="C55" s="536"/>
      <c r="D55" s="536"/>
      <c r="E55" s="536"/>
      <c r="F55" s="536"/>
      <c r="G55" s="536"/>
      <c r="H55" s="536"/>
      <c r="I55" s="536"/>
      <c r="J55" s="536"/>
      <c r="K55" s="536"/>
      <c r="L55" s="536"/>
      <c r="M55" s="536"/>
      <c r="N55" s="536"/>
    </row>
    <row r="56" spans="1:14">
      <c r="A56" s="536"/>
      <c r="B56" s="536"/>
      <c r="C56" s="536"/>
      <c r="D56" s="536"/>
      <c r="E56" s="536"/>
      <c r="F56" s="536"/>
      <c r="G56" s="536"/>
      <c r="H56" s="536"/>
      <c r="I56" s="536"/>
      <c r="J56" s="536"/>
      <c r="K56" s="536"/>
      <c r="L56" s="536"/>
      <c r="M56" s="536"/>
      <c r="N56" s="536"/>
    </row>
    <row r="57" spans="1:14">
      <c r="A57" s="536"/>
      <c r="B57" s="536"/>
      <c r="C57" s="536"/>
      <c r="D57" s="536"/>
      <c r="E57" s="536"/>
      <c r="F57" s="536"/>
      <c r="G57" s="536"/>
      <c r="H57" s="536"/>
      <c r="I57" s="536"/>
      <c r="J57" s="536"/>
      <c r="K57" s="536"/>
      <c r="L57" s="536"/>
      <c r="M57" s="536"/>
      <c r="N57" s="536"/>
    </row>
    <row r="58" spans="1:14">
      <c r="A58" s="536"/>
      <c r="B58" s="536"/>
      <c r="C58" s="536"/>
      <c r="D58" s="536"/>
      <c r="E58" s="536"/>
      <c r="F58" s="536"/>
      <c r="G58" s="536"/>
      <c r="H58" s="536"/>
      <c r="I58" s="536"/>
      <c r="J58" s="536"/>
      <c r="K58" s="536"/>
      <c r="L58" s="536"/>
      <c r="M58" s="536"/>
      <c r="N58" s="536"/>
    </row>
    <row r="59" spans="1:14">
      <c r="A59" s="536"/>
      <c r="B59" s="536"/>
      <c r="C59" s="536"/>
      <c r="D59" s="536"/>
      <c r="E59" s="536"/>
      <c r="F59" s="536"/>
      <c r="G59" s="536"/>
      <c r="H59" s="536"/>
      <c r="I59" s="536"/>
      <c r="J59" s="536"/>
      <c r="K59" s="536"/>
      <c r="L59" s="536"/>
      <c r="M59" s="536"/>
      <c r="N59" s="536"/>
    </row>
    <row r="60" spans="1:14">
      <c r="A60" s="536"/>
      <c r="B60" s="536"/>
      <c r="C60" s="536"/>
      <c r="D60" s="536"/>
      <c r="E60" s="536"/>
      <c r="F60" s="536"/>
      <c r="G60" s="536"/>
      <c r="H60" s="536"/>
      <c r="I60" s="536"/>
      <c r="J60" s="536"/>
      <c r="K60" s="536"/>
      <c r="L60" s="536"/>
      <c r="M60" s="536"/>
      <c r="N60" s="536"/>
    </row>
    <row r="61" spans="1:14">
      <c r="A61" s="536"/>
      <c r="B61" s="536"/>
      <c r="C61" s="536"/>
      <c r="D61" s="536"/>
      <c r="E61" s="536"/>
      <c r="F61" s="536"/>
      <c r="G61" s="536"/>
      <c r="H61" s="536"/>
      <c r="I61" s="536"/>
      <c r="J61" s="536"/>
      <c r="K61" s="536"/>
      <c r="L61" s="536"/>
      <c r="M61" s="536"/>
      <c r="N61" s="536"/>
    </row>
    <row r="62" spans="1:14">
      <c r="A62" s="536"/>
      <c r="B62" s="536"/>
      <c r="C62" s="536"/>
      <c r="D62" s="536"/>
      <c r="E62" s="536"/>
      <c r="F62" s="536"/>
      <c r="G62" s="536"/>
      <c r="H62" s="536"/>
      <c r="I62" s="536"/>
      <c r="J62" s="536"/>
      <c r="K62" s="536"/>
      <c r="L62" s="536"/>
      <c r="M62" s="536"/>
      <c r="N62" s="536"/>
    </row>
    <row r="63" spans="1:14">
      <c r="A63" s="536"/>
      <c r="B63" s="536"/>
      <c r="C63" s="536"/>
      <c r="D63" s="536"/>
      <c r="E63" s="536"/>
      <c r="F63" s="536"/>
      <c r="G63" s="536"/>
      <c r="H63" s="536"/>
      <c r="I63" s="536"/>
      <c r="J63" s="536"/>
      <c r="K63" s="536"/>
      <c r="L63" s="536"/>
      <c r="M63" s="536"/>
      <c r="N63" s="536"/>
    </row>
    <row r="64" spans="1:14">
      <c r="A64" s="536"/>
      <c r="B64" s="536"/>
      <c r="C64" s="536"/>
      <c r="D64" s="536"/>
      <c r="E64" s="536"/>
      <c r="F64" s="536"/>
      <c r="G64" s="536"/>
      <c r="H64" s="536"/>
      <c r="I64" s="536"/>
      <c r="J64" s="536"/>
      <c r="K64" s="536"/>
      <c r="L64" s="536"/>
      <c r="M64" s="536"/>
      <c r="N64" s="536"/>
    </row>
    <row r="65" spans="1:14">
      <c r="A65" s="536"/>
      <c r="B65" s="536"/>
      <c r="C65" s="536"/>
      <c r="D65" s="536"/>
      <c r="E65" s="536"/>
      <c r="F65" s="536"/>
      <c r="G65" s="536"/>
      <c r="H65" s="536"/>
      <c r="I65" s="536"/>
      <c r="J65" s="536"/>
      <c r="K65" s="536"/>
      <c r="L65" s="536"/>
      <c r="M65" s="536"/>
      <c r="N65" s="536"/>
    </row>
    <row r="66" spans="1:14">
      <c r="A66" s="536"/>
      <c r="B66" s="536"/>
      <c r="C66" s="536"/>
      <c r="D66" s="536"/>
      <c r="E66" s="536"/>
      <c r="F66" s="536"/>
      <c r="G66" s="536"/>
      <c r="H66" s="536"/>
      <c r="I66" s="536"/>
      <c r="J66" s="536"/>
      <c r="K66" s="536"/>
      <c r="L66" s="536"/>
      <c r="M66" s="536"/>
      <c r="N66" s="536"/>
    </row>
    <row r="67" spans="1:14">
      <c r="A67" s="536"/>
      <c r="B67" s="536"/>
      <c r="C67" s="536"/>
      <c r="D67" s="536"/>
      <c r="E67" s="536"/>
      <c r="F67" s="536"/>
      <c r="G67" s="536"/>
      <c r="H67" s="536"/>
      <c r="I67" s="536"/>
      <c r="J67" s="536"/>
      <c r="K67" s="536"/>
      <c r="L67" s="536"/>
      <c r="M67" s="536"/>
      <c r="N67" s="536"/>
    </row>
    <row r="68" spans="1:14">
      <c r="A68" s="536"/>
      <c r="B68" s="536"/>
      <c r="C68" s="536"/>
      <c r="D68" s="536"/>
      <c r="E68" s="536"/>
      <c r="F68" s="536"/>
      <c r="G68" s="536"/>
      <c r="H68" s="536"/>
      <c r="I68" s="536"/>
      <c r="J68" s="536"/>
      <c r="K68" s="536"/>
      <c r="L68" s="536"/>
      <c r="M68" s="536"/>
      <c r="N68" s="536"/>
    </row>
    <row r="69" spans="1:14">
      <c r="A69" s="536"/>
      <c r="B69" s="536"/>
      <c r="C69" s="536"/>
      <c r="D69" s="536"/>
      <c r="E69" s="536"/>
      <c r="F69" s="536"/>
      <c r="G69" s="536"/>
      <c r="H69" s="536"/>
      <c r="I69" s="536"/>
      <c r="J69" s="536"/>
      <c r="K69" s="536"/>
      <c r="L69" s="536"/>
      <c r="M69" s="536"/>
      <c r="N69" s="536"/>
    </row>
    <row r="70" spans="1:14">
      <c r="A70" s="536"/>
      <c r="B70" s="536"/>
      <c r="C70" s="536"/>
      <c r="D70" s="536"/>
      <c r="E70" s="536"/>
      <c r="F70" s="536"/>
      <c r="G70" s="536"/>
      <c r="H70" s="536"/>
      <c r="I70" s="536"/>
      <c r="J70" s="536"/>
      <c r="K70" s="536"/>
      <c r="L70" s="536"/>
      <c r="M70" s="536"/>
      <c r="N70" s="536"/>
    </row>
    <row r="71" spans="1:14">
      <c r="A71" s="536"/>
      <c r="B71" s="536"/>
      <c r="C71" s="536"/>
      <c r="D71" s="536"/>
      <c r="E71" s="536"/>
      <c r="F71" s="536"/>
      <c r="G71" s="536"/>
      <c r="H71" s="536"/>
      <c r="I71" s="536"/>
      <c r="J71" s="536"/>
      <c r="K71" s="536"/>
      <c r="L71" s="536"/>
      <c r="M71" s="536"/>
      <c r="N71" s="536"/>
    </row>
    <row r="72" spans="1:14">
      <c r="A72" s="536"/>
      <c r="B72" s="536"/>
      <c r="C72" s="536"/>
      <c r="D72" s="536"/>
      <c r="E72" s="536"/>
      <c r="F72" s="536"/>
      <c r="G72" s="536"/>
      <c r="H72" s="536"/>
      <c r="I72" s="536"/>
      <c r="J72" s="536"/>
      <c r="K72" s="536"/>
      <c r="L72" s="536"/>
      <c r="M72" s="536"/>
      <c r="N72" s="536"/>
    </row>
    <row r="73" spans="1:14">
      <c r="A73" s="536"/>
      <c r="B73" s="536"/>
      <c r="C73" s="536"/>
      <c r="D73" s="536"/>
      <c r="E73" s="536"/>
      <c r="F73" s="536"/>
      <c r="G73" s="536"/>
      <c r="H73" s="536"/>
      <c r="I73" s="536"/>
      <c r="J73" s="536"/>
      <c r="K73" s="536"/>
      <c r="L73" s="536"/>
      <c r="M73" s="536"/>
      <c r="N73" s="536"/>
    </row>
    <row r="74" spans="1:14">
      <c r="A74" s="536"/>
      <c r="B74" s="536"/>
      <c r="C74" s="536"/>
      <c r="D74" s="536"/>
      <c r="E74" s="536"/>
      <c r="F74" s="536"/>
      <c r="G74" s="536"/>
      <c r="H74" s="536"/>
      <c r="I74" s="536"/>
      <c r="J74" s="536"/>
      <c r="K74" s="536"/>
      <c r="L74" s="536"/>
      <c r="M74" s="536"/>
      <c r="N74" s="536"/>
    </row>
    <row r="75" spans="1:14">
      <c r="A75" s="536"/>
      <c r="B75" s="536"/>
      <c r="C75" s="536"/>
      <c r="D75" s="536"/>
      <c r="E75" s="536"/>
      <c r="F75" s="536"/>
      <c r="G75" s="536"/>
      <c r="H75" s="536"/>
      <c r="I75" s="536"/>
      <c r="J75" s="536"/>
      <c r="K75" s="536"/>
      <c r="L75" s="536"/>
      <c r="M75" s="536"/>
      <c r="N75" s="536"/>
    </row>
    <row r="76" spans="1:14">
      <c r="A76" s="536"/>
      <c r="B76" s="536"/>
      <c r="C76" s="536"/>
      <c r="D76" s="536"/>
      <c r="E76" s="536"/>
      <c r="F76" s="536"/>
      <c r="G76" s="536"/>
      <c r="H76" s="536"/>
      <c r="I76" s="536"/>
      <c r="J76" s="536"/>
      <c r="K76" s="536"/>
      <c r="L76" s="536"/>
      <c r="M76" s="536"/>
      <c r="N76" s="536"/>
    </row>
    <row r="77" spans="1:14">
      <c r="A77" s="536"/>
      <c r="B77" s="536"/>
      <c r="C77" s="536"/>
      <c r="D77" s="536"/>
      <c r="E77" s="536"/>
      <c r="F77" s="536"/>
      <c r="G77" s="536"/>
      <c r="H77" s="536"/>
      <c r="I77" s="536"/>
      <c r="J77" s="536"/>
      <c r="K77" s="536"/>
      <c r="L77" s="536"/>
      <c r="M77" s="536"/>
      <c r="N77" s="536"/>
    </row>
    <row r="78" spans="1:14">
      <c r="A78" s="536"/>
      <c r="B78" s="536"/>
      <c r="C78" s="536"/>
      <c r="D78" s="536"/>
      <c r="E78" s="536"/>
      <c r="F78" s="536"/>
      <c r="G78" s="536"/>
      <c r="H78" s="536"/>
      <c r="I78" s="536"/>
      <c r="J78" s="536"/>
      <c r="K78" s="536"/>
      <c r="L78" s="536"/>
      <c r="M78" s="536"/>
      <c r="N78" s="536"/>
    </row>
    <row r="79" spans="1:14">
      <c r="A79" s="536"/>
      <c r="B79" s="536"/>
      <c r="C79" s="536"/>
      <c r="D79" s="536"/>
      <c r="E79" s="536"/>
      <c r="F79" s="536"/>
      <c r="G79" s="536"/>
      <c r="H79" s="536"/>
      <c r="I79" s="536"/>
      <c r="J79" s="536"/>
      <c r="K79" s="536"/>
      <c r="L79" s="536"/>
      <c r="M79" s="536"/>
      <c r="N79" s="536"/>
    </row>
    <row r="80" spans="1:14">
      <c r="A80" s="536"/>
      <c r="B80" s="536"/>
      <c r="C80" s="536"/>
      <c r="D80" s="536"/>
      <c r="E80" s="536"/>
      <c r="F80" s="536"/>
      <c r="G80" s="536"/>
      <c r="H80" s="536"/>
      <c r="I80" s="536"/>
      <c r="J80" s="536"/>
      <c r="K80" s="536"/>
      <c r="L80" s="536"/>
      <c r="M80" s="536"/>
      <c r="N80" s="536"/>
    </row>
    <row r="81" spans="1:14">
      <c r="A81" s="536"/>
      <c r="B81" s="536"/>
      <c r="C81" s="536"/>
      <c r="D81" s="536"/>
      <c r="E81" s="536"/>
      <c r="F81" s="536"/>
      <c r="G81" s="536"/>
      <c r="H81" s="536"/>
      <c r="I81" s="536"/>
      <c r="J81" s="536"/>
      <c r="K81" s="536"/>
      <c r="L81" s="536"/>
      <c r="M81" s="536"/>
      <c r="N81" s="536"/>
    </row>
    <row r="82" spans="1:14">
      <c r="A82" s="536"/>
      <c r="B82" s="536"/>
      <c r="C82" s="536"/>
      <c r="D82" s="536"/>
      <c r="E82" s="536"/>
      <c r="F82" s="536"/>
      <c r="G82" s="536"/>
      <c r="H82" s="536"/>
      <c r="I82" s="536"/>
      <c r="J82" s="536"/>
      <c r="K82" s="536"/>
      <c r="L82" s="536"/>
      <c r="M82" s="536"/>
      <c r="N82" s="536"/>
    </row>
    <row r="83" spans="1:14">
      <c r="A83" s="536"/>
      <c r="B83" s="536"/>
      <c r="C83" s="536"/>
      <c r="D83" s="536"/>
      <c r="E83" s="536"/>
      <c r="F83" s="536"/>
      <c r="G83" s="536"/>
      <c r="H83" s="536"/>
      <c r="I83" s="536"/>
      <c r="J83" s="536"/>
      <c r="K83" s="536"/>
      <c r="L83" s="536"/>
      <c r="M83" s="536"/>
      <c r="N83" s="536"/>
    </row>
    <row r="84" spans="1:14">
      <c r="A84" s="536"/>
      <c r="B84" s="536"/>
      <c r="C84" s="536"/>
      <c r="D84" s="536"/>
      <c r="E84" s="536"/>
      <c r="F84" s="536"/>
      <c r="G84" s="536"/>
      <c r="H84" s="536"/>
      <c r="I84" s="536"/>
      <c r="J84" s="536"/>
      <c r="K84" s="536"/>
      <c r="L84" s="536"/>
      <c r="M84" s="536"/>
      <c r="N84" s="536"/>
    </row>
    <row r="85" spans="1:14">
      <c r="A85" s="536"/>
      <c r="B85" s="536"/>
      <c r="C85" s="536"/>
      <c r="D85" s="536"/>
      <c r="E85" s="536"/>
      <c r="F85" s="536"/>
      <c r="G85" s="536"/>
      <c r="H85" s="536"/>
      <c r="I85" s="536"/>
      <c r="J85" s="536"/>
      <c r="K85" s="536"/>
      <c r="L85" s="536"/>
      <c r="M85" s="536"/>
      <c r="N85" s="536"/>
    </row>
    <row r="86" spans="1:14">
      <c r="A86" s="536"/>
      <c r="B86" s="536"/>
      <c r="C86" s="536"/>
      <c r="D86" s="536"/>
      <c r="E86" s="536"/>
      <c r="F86" s="536"/>
      <c r="G86" s="536"/>
      <c r="H86" s="536"/>
      <c r="I86" s="536"/>
      <c r="J86" s="536"/>
      <c r="K86" s="536"/>
      <c r="L86" s="536"/>
      <c r="M86" s="536"/>
      <c r="N86" s="536"/>
    </row>
    <row r="87" spans="1:14">
      <c r="A87" s="536"/>
      <c r="B87" s="536"/>
      <c r="C87" s="536"/>
      <c r="D87" s="536"/>
      <c r="E87" s="536"/>
      <c r="F87" s="536"/>
      <c r="G87" s="536"/>
      <c r="H87" s="536"/>
      <c r="I87" s="536"/>
      <c r="J87" s="536"/>
      <c r="K87" s="536"/>
      <c r="L87" s="536"/>
      <c r="M87" s="536"/>
      <c r="N87" s="536"/>
    </row>
    <row r="88" spans="1:14">
      <c r="A88" s="536"/>
      <c r="B88" s="536"/>
      <c r="C88" s="536"/>
      <c r="D88" s="536"/>
      <c r="E88" s="536"/>
      <c r="F88" s="536"/>
      <c r="G88" s="536"/>
      <c r="H88" s="536"/>
      <c r="I88" s="536"/>
      <c r="J88" s="536"/>
      <c r="K88" s="536"/>
      <c r="L88" s="536"/>
      <c r="M88" s="536"/>
      <c r="N88" s="536"/>
    </row>
    <row r="89" spans="1:14">
      <c r="A89" s="536"/>
      <c r="B89" s="536"/>
      <c r="C89" s="536"/>
      <c r="D89" s="536"/>
      <c r="E89" s="536"/>
      <c r="F89" s="536"/>
      <c r="G89" s="536"/>
      <c r="H89" s="536"/>
      <c r="I89" s="536"/>
      <c r="J89" s="536"/>
      <c r="K89" s="536"/>
      <c r="L89" s="536"/>
      <c r="M89" s="536"/>
      <c r="N89" s="536"/>
    </row>
    <row r="90" spans="1:14">
      <c r="A90" s="536"/>
      <c r="B90" s="536"/>
      <c r="C90" s="536"/>
      <c r="D90" s="536"/>
      <c r="E90" s="536"/>
      <c r="F90" s="536"/>
      <c r="G90" s="536"/>
      <c r="H90" s="536"/>
      <c r="I90" s="536"/>
      <c r="J90" s="536"/>
      <c r="K90" s="536"/>
      <c r="L90" s="536"/>
      <c r="M90" s="536"/>
      <c r="N90" s="536"/>
    </row>
    <row r="91" spans="1:14">
      <c r="A91" s="536"/>
      <c r="B91" s="536"/>
      <c r="C91" s="536"/>
      <c r="D91" s="536"/>
      <c r="E91" s="536"/>
      <c r="F91" s="536"/>
      <c r="G91" s="536"/>
      <c r="H91" s="536"/>
      <c r="I91" s="536"/>
      <c r="J91" s="536"/>
      <c r="K91" s="536"/>
      <c r="L91" s="536"/>
      <c r="M91" s="536"/>
      <c r="N91" s="536"/>
    </row>
    <row r="92" spans="1:14">
      <c r="A92" s="536"/>
      <c r="B92" s="536"/>
      <c r="C92" s="536"/>
      <c r="D92" s="536"/>
      <c r="E92" s="536"/>
      <c r="F92" s="536"/>
      <c r="G92" s="536"/>
      <c r="H92" s="536"/>
      <c r="I92" s="536"/>
      <c r="J92" s="536"/>
      <c r="K92" s="536"/>
      <c r="L92" s="536"/>
      <c r="M92" s="536"/>
      <c r="N92" s="536"/>
    </row>
    <row r="93" spans="1:14">
      <c r="A93" s="536"/>
      <c r="B93" s="536"/>
      <c r="C93" s="536"/>
      <c r="D93" s="536"/>
      <c r="E93" s="536"/>
      <c r="F93" s="536"/>
      <c r="G93" s="536"/>
      <c r="H93" s="536"/>
      <c r="I93" s="536"/>
      <c r="J93" s="536"/>
      <c r="K93" s="536"/>
      <c r="L93" s="536"/>
      <c r="M93" s="536"/>
      <c r="N93" s="536"/>
    </row>
    <row r="94" spans="1:14">
      <c r="A94" s="536"/>
      <c r="B94" s="536"/>
      <c r="C94" s="536"/>
      <c r="D94" s="536"/>
      <c r="E94" s="536"/>
      <c r="F94" s="536"/>
      <c r="G94" s="536"/>
      <c r="H94" s="536"/>
      <c r="I94" s="536"/>
      <c r="J94" s="536"/>
      <c r="K94" s="536"/>
      <c r="L94" s="536"/>
      <c r="M94" s="536"/>
      <c r="N94" s="536"/>
    </row>
    <row r="95" spans="1:14">
      <c r="A95" s="536"/>
      <c r="B95" s="536"/>
      <c r="C95" s="536"/>
      <c r="D95" s="536"/>
      <c r="E95" s="536"/>
      <c r="F95" s="536"/>
      <c r="G95" s="536"/>
      <c r="H95" s="536"/>
      <c r="I95" s="536"/>
      <c r="J95" s="536"/>
      <c r="K95" s="536"/>
      <c r="L95" s="536"/>
      <c r="M95" s="536"/>
      <c r="N95" s="536"/>
    </row>
    <row r="96" spans="1:14">
      <c r="A96" s="536"/>
      <c r="B96" s="536"/>
      <c r="C96" s="536"/>
      <c r="D96" s="536"/>
      <c r="E96" s="536"/>
      <c r="F96" s="536"/>
      <c r="G96" s="536"/>
      <c r="H96" s="536"/>
      <c r="I96" s="536"/>
      <c r="J96" s="536"/>
      <c r="K96" s="536"/>
      <c r="L96" s="536"/>
      <c r="M96" s="536"/>
      <c r="N96" s="536"/>
    </row>
    <row r="97" spans="1:14">
      <c r="A97" s="536"/>
      <c r="B97" s="536"/>
      <c r="C97" s="536"/>
      <c r="D97" s="536"/>
      <c r="E97" s="536"/>
      <c r="F97" s="536"/>
      <c r="G97" s="536"/>
      <c r="H97" s="536"/>
      <c r="I97" s="536"/>
      <c r="J97" s="536"/>
      <c r="K97" s="536"/>
      <c r="L97" s="536"/>
      <c r="M97" s="536"/>
      <c r="N97" s="536"/>
    </row>
    <row r="98" spans="1:14">
      <c r="A98" s="536"/>
      <c r="B98" s="536"/>
      <c r="C98" s="536"/>
      <c r="D98" s="536"/>
      <c r="E98" s="536"/>
      <c r="F98" s="536"/>
      <c r="G98" s="536"/>
      <c r="H98" s="536"/>
      <c r="I98" s="536"/>
      <c r="J98" s="536"/>
      <c r="K98" s="536"/>
      <c r="L98" s="536"/>
      <c r="M98" s="536"/>
      <c r="N98" s="536"/>
    </row>
    <row r="99" spans="1:14">
      <c r="A99" s="536"/>
      <c r="B99" s="536"/>
      <c r="C99" s="536"/>
      <c r="D99" s="536"/>
      <c r="E99" s="536"/>
      <c r="F99" s="536"/>
      <c r="G99" s="536"/>
      <c r="H99" s="536"/>
      <c r="I99" s="536"/>
      <c r="J99" s="536"/>
      <c r="K99" s="536"/>
      <c r="L99" s="536"/>
      <c r="M99" s="536"/>
      <c r="N99" s="536"/>
    </row>
    <row r="100" spans="1:14">
      <c r="A100" s="536"/>
      <c r="B100" s="536"/>
      <c r="C100" s="536"/>
      <c r="D100" s="536"/>
      <c r="E100" s="536"/>
      <c r="F100" s="536"/>
      <c r="G100" s="536"/>
      <c r="H100" s="536"/>
      <c r="I100" s="536"/>
      <c r="J100" s="536"/>
      <c r="K100" s="536"/>
      <c r="L100" s="536"/>
      <c r="M100" s="536"/>
      <c r="N100" s="536"/>
    </row>
    <row r="101" spans="1:14">
      <c r="A101" s="536"/>
      <c r="B101" s="536"/>
      <c r="C101" s="536"/>
      <c r="D101" s="536"/>
      <c r="E101" s="536"/>
      <c r="F101" s="536"/>
      <c r="G101" s="536"/>
      <c r="H101" s="536"/>
      <c r="I101" s="536"/>
      <c r="J101" s="536"/>
      <c r="K101" s="536"/>
      <c r="L101" s="536"/>
      <c r="M101" s="536"/>
      <c r="N101" s="536"/>
    </row>
    <row r="102" spans="1:14">
      <c r="A102" s="536"/>
      <c r="B102" s="536"/>
      <c r="C102" s="536"/>
      <c r="D102" s="536"/>
      <c r="E102" s="536"/>
      <c r="F102" s="536"/>
      <c r="G102" s="536"/>
      <c r="H102" s="536"/>
      <c r="I102" s="536"/>
      <c r="J102" s="536"/>
      <c r="K102" s="536"/>
      <c r="L102" s="536"/>
      <c r="M102" s="536"/>
      <c r="N102" s="536"/>
    </row>
    <row r="103" spans="1:14">
      <c r="A103" s="536"/>
      <c r="B103" s="536"/>
      <c r="C103" s="536"/>
      <c r="D103" s="536"/>
      <c r="E103" s="536"/>
      <c r="F103" s="536"/>
      <c r="G103" s="536"/>
      <c r="H103" s="536"/>
      <c r="I103" s="536"/>
      <c r="J103" s="536"/>
      <c r="K103" s="536"/>
      <c r="L103" s="536"/>
      <c r="M103" s="536"/>
      <c r="N103" s="536"/>
    </row>
    <row r="104" spans="1:14">
      <c r="A104" s="536"/>
      <c r="B104" s="536"/>
      <c r="C104" s="536"/>
      <c r="D104" s="536"/>
      <c r="E104" s="536"/>
      <c r="F104" s="536"/>
      <c r="G104" s="536"/>
      <c r="H104" s="536"/>
      <c r="I104" s="536"/>
      <c r="J104" s="536"/>
      <c r="K104" s="536"/>
      <c r="L104" s="536"/>
      <c r="M104" s="536"/>
      <c r="N104" s="536"/>
    </row>
    <row r="105" spans="1:14">
      <c r="A105" s="536"/>
      <c r="B105" s="536"/>
      <c r="C105" s="536"/>
      <c r="D105" s="536"/>
      <c r="E105" s="536"/>
      <c r="F105" s="536"/>
      <c r="G105" s="536"/>
      <c r="H105" s="536"/>
      <c r="I105" s="536"/>
      <c r="J105" s="536"/>
      <c r="K105" s="536"/>
      <c r="L105" s="536"/>
      <c r="M105" s="536"/>
      <c r="N105" s="536"/>
    </row>
  </sheetData>
  <mergeCells count="18">
    <mergeCell ref="A15:A16"/>
    <mergeCell ref="B15:B16"/>
    <mergeCell ref="C15:F15"/>
    <mergeCell ref="G15:J15"/>
    <mergeCell ref="K15:N15"/>
    <mergeCell ref="A27:A28"/>
    <mergeCell ref="B27:B28"/>
    <mergeCell ref="C27:F27"/>
    <mergeCell ref="G27:J27"/>
    <mergeCell ref="K27:N27"/>
    <mergeCell ref="A1:N1"/>
    <mergeCell ref="A2:N2"/>
    <mergeCell ref="M5:N5"/>
    <mergeCell ref="A6:A7"/>
    <mergeCell ref="B6:B7"/>
    <mergeCell ref="C6:F6"/>
    <mergeCell ref="G6:J6"/>
    <mergeCell ref="K6:N6"/>
  </mergeCells>
  <printOptions horizontalCentered="1"/>
  <pageMargins left="0.19685039370078741" right="0.19685039370078741" top="0.94488188976377963" bottom="0.70866141732283472" header="0.19685039370078741" footer="0.51181102362204722"/>
  <pageSetup paperSize="9" scale="97" orientation="landscape" r:id="rId1"/>
  <headerFooter alignWithMargins="0">
    <oddHeader>&amp;C&amp;R13/b. számú melléklet</oddHeader>
  </headerFooter>
  <colBreaks count="1" manualBreakCount="1">
    <brk id="14" max="27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37">
    <tabColor theme="4" tint="0.59999389629810485"/>
  </sheetPr>
  <dimension ref="A1:J51"/>
  <sheetViews>
    <sheetView topLeftCell="A28" workbookViewId="0">
      <selection activeCell="F56" sqref="F56"/>
    </sheetView>
  </sheetViews>
  <sheetFormatPr defaultRowHeight="12.75"/>
  <cols>
    <col min="1" max="1" width="77.7109375" customWidth="1"/>
    <col min="2" max="2" width="15.42578125" customWidth="1"/>
    <col min="3" max="3" width="14.28515625" customWidth="1"/>
    <col min="4" max="4" width="17.42578125" customWidth="1"/>
    <col min="5" max="7" width="11.140625" style="352" bestFit="1" customWidth="1"/>
    <col min="8" max="8" width="10.140625" style="352" bestFit="1" customWidth="1"/>
    <col min="9" max="10" width="9.140625" style="352"/>
  </cols>
  <sheetData>
    <row r="1" spans="1:9">
      <c r="A1" s="729" t="s">
        <v>1041</v>
      </c>
      <c r="B1" s="729"/>
      <c r="C1" s="729"/>
      <c r="D1" s="729"/>
    </row>
    <row r="2" spans="1:9">
      <c r="A2" s="729" t="s">
        <v>1094</v>
      </c>
      <c r="B2" s="729"/>
      <c r="C2" s="729"/>
      <c r="D2" s="729"/>
    </row>
    <row r="3" spans="1:9">
      <c r="A3" s="46" t="s">
        <v>97</v>
      </c>
      <c r="B3" s="46"/>
      <c r="C3" s="94"/>
      <c r="D3" s="94"/>
    </row>
    <row r="4" spans="1:9">
      <c r="A4" s="217"/>
      <c r="B4" s="217"/>
      <c r="C4" s="280"/>
      <c r="D4" s="280"/>
    </row>
    <row r="5" spans="1:9">
      <c r="A5" s="217"/>
      <c r="B5" s="245"/>
      <c r="C5" s="836" t="s">
        <v>479</v>
      </c>
      <c r="D5" s="836"/>
    </row>
    <row r="6" spans="1:9">
      <c r="A6" s="291" t="s">
        <v>134</v>
      </c>
      <c r="B6" s="292" t="s">
        <v>422</v>
      </c>
      <c r="C6" s="292" t="s">
        <v>423</v>
      </c>
      <c r="D6" s="292" t="s">
        <v>424</v>
      </c>
    </row>
    <row r="7" spans="1:9">
      <c r="A7" s="293" t="s">
        <v>425</v>
      </c>
      <c r="B7" s="294">
        <v>0</v>
      </c>
      <c r="C7" s="294">
        <v>0</v>
      </c>
      <c r="D7" s="294">
        <v>0</v>
      </c>
    </row>
    <row r="8" spans="1:9">
      <c r="A8" s="293" t="s">
        <v>426</v>
      </c>
      <c r="B8" s="294">
        <v>31520533</v>
      </c>
      <c r="C8" s="294">
        <v>0</v>
      </c>
      <c r="D8" s="294">
        <f>1964381+28652550+8090</f>
        <v>30625021</v>
      </c>
      <c r="F8" s="351"/>
      <c r="G8" s="351"/>
      <c r="H8" s="351"/>
      <c r="I8" s="351"/>
    </row>
    <row r="9" spans="1:9">
      <c r="A9" s="293" t="s">
        <v>427</v>
      </c>
      <c r="B9" s="294">
        <v>0</v>
      </c>
      <c r="C9" s="294">
        <v>0</v>
      </c>
      <c r="D9" s="294">
        <v>0</v>
      </c>
      <c r="F9" s="351"/>
    </row>
    <row r="10" spans="1:9">
      <c r="A10" s="295" t="s">
        <v>428</v>
      </c>
      <c r="B10" s="296">
        <f>SUM(B7:B9)</f>
        <v>31520533</v>
      </c>
      <c r="C10" s="296">
        <f>SUM(C7:C9)</f>
        <v>0</v>
      </c>
      <c r="D10" s="296">
        <f>SUM(D7:D9)</f>
        <v>30625021</v>
      </c>
    </row>
    <row r="11" spans="1:9">
      <c r="A11" s="293" t="s">
        <v>429</v>
      </c>
      <c r="B11" s="294">
        <v>0</v>
      </c>
      <c r="C11" s="294">
        <v>0</v>
      </c>
      <c r="D11" s="294">
        <v>0</v>
      </c>
      <c r="F11" s="351"/>
    </row>
    <row r="12" spans="1:9">
      <c r="A12" s="293" t="s">
        <v>430</v>
      </c>
      <c r="B12" s="294">
        <v>0</v>
      </c>
      <c r="C12" s="294">
        <v>0</v>
      </c>
      <c r="D12" s="294">
        <v>0</v>
      </c>
    </row>
    <row r="13" spans="1:9">
      <c r="A13" s="295" t="s">
        <v>431</v>
      </c>
      <c r="B13" s="296">
        <v>0</v>
      </c>
      <c r="C13" s="296">
        <v>0</v>
      </c>
      <c r="D13" s="296">
        <v>0</v>
      </c>
    </row>
    <row r="14" spans="1:9">
      <c r="A14" s="293" t="s">
        <v>432</v>
      </c>
      <c r="B14" s="294">
        <v>375375646</v>
      </c>
      <c r="C14" s="294">
        <v>0</v>
      </c>
      <c r="D14" s="294">
        <f>92332066+184541469+111325623</f>
        <v>388199158</v>
      </c>
    </row>
    <row r="15" spans="1:9" ht="17.25" customHeight="1">
      <c r="A15" s="350" t="s">
        <v>433</v>
      </c>
      <c r="B15" s="294">
        <v>581721093</v>
      </c>
      <c r="C15" s="294">
        <v>0</v>
      </c>
      <c r="D15" s="483">
        <f>13554074+41529651+66715959+471079881</f>
        <v>592879565</v>
      </c>
    </row>
    <row r="16" spans="1:9" ht="15">
      <c r="A16" s="350" t="s">
        <v>552</v>
      </c>
      <c r="B16" s="294">
        <v>7719954</v>
      </c>
      <c r="C16" s="294">
        <v>0</v>
      </c>
      <c r="D16" s="482">
        <f>100000+450000+1271916+3733722</f>
        <v>5555638</v>
      </c>
    </row>
    <row r="17" spans="1:4" ht="15">
      <c r="A17" s="350" t="s">
        <v>553</v>
      </c>
      <c r="B17" s="294">
        <v>97901</v>
      </c>
      <c r="C17" s="294">
        <v>0</v>
      </c>
      <c r="D17" s="482">
        <f>32045+2521+4421+1811</f>
        <v>40798</v>
      </c>
    </row>
    <row r="18" spans="1:4" ht="15" customHeight="1">
      <c r="A18" s="295" t="s">
        <v>554</v>
      </c>
      <c r="B18" s="296">
        <f>SUM(B14:B17)</f>
        <v>964914594</v>
      </c>
      <c r="C18" s="296">
        <f>SUM(C14:C17)</f>
        <v>0</v>
      </c>
      <c r="D18" s="296">
        <f>SUM(D14:D17)</f>
        <v>986675159</v>
      </c>
    </row>
    <row r="19" spans="1:4">
      <c r="A19" s="350" t="s">
        <v>555</v>
      </c>
      <c r="B19" s="294">
        <v>7387351</v>
      </c>
      <c r="C19" s="294">
        <v>0</v>
      </c>
      <c r="D19" s="294">
        <f>1203164+5050371+4293382+329977</f>
        <v>10876894</v>
      </c>
    </row>
    <row r="20" spans="1:4">
      <c r="A20" s="350" t="s">
        <v>556</v>
      </c>
      <c r="B20" s="294">
        <v>73414254</v>
      </c>
      <c r="C20" s="294">
        <v>0</v>
      </c>
      <c r="D20" s="294">
        <f>13300248+34761841+9003978+21812528</f>
        <v>78878595</v>
      </c>
    </row>
    <row r="21" spans="1:4">
      <c r="A21" s="350" t="s">
        <v>557</v>
      </c>
      <c r="B21" s="294">
        <v>0</v>
      </c>
      <c r="C21" s="294">
        <v>0</v>
      </c>
      <c r="D21" s="483">
        <v>0</v>
      </c>
    </row>
    <row r="22" spans="1:4">
      <c r="A22" s="350" t="s">
        <v>558</v>
      </c>
      <c r="B22" s="294">
        <v>362320</v>
      </c>
      <c r="C22" s="294">
        <v>0</v>
      </c>
      <c r="D22" s="483">
        <f>6500+96596+7572</f>
        <v>110668</v>
      </c>
    </row>
    <row r="23" spans="1:4">
      <c r="A23" s="295" t="s">
        <v>559</v>
      </c>
      <c r="B23" s="296">
        <f>SUM(B19:B22)</f>
        <v>81163925</v>
      </c>
      <c r="C23" s="296">
        <f>SUM(C19:C22)</f>
        <v>0</v>
      </c>
      <c r="D23" s="296">
        <f>SUM(D19:D22)</f>
        <v>89866157</v>
      </c>
    </row>
    <row r="24" spans="1:4">
      <c r="A24" s="350" t="s">
        <v>560</v>
      </c>
      <c r="B24" s="294">
        <v>384346591</v>
      </c>
      <c r="C24" s="294">
        <v>0</v>
      </c>
      <c r="D24" s="294">
        <f>66456887+181467684+127804952+3042076</f>
        <v>378771599</v>
      </c>
    </row>
    <row r="25" spans="1:4">
      <c r="A25" s="350" t="s">
        <v>561</v>
      </c>
      <c r="B25" s="294">
        <v>28464499</v>
      </c>
      <c r="C25" s="294">
        <v>0</v>
      </c>
      <c r="D25" s="294">
        <f>5894743+11174194+6892491+1122500</f>
        <v>25083928</v>
      </c>
    </row>
    <row r="26" spans="1:4">
      <c r="A26" s="350" t="s">
        <v>562</v>
      </c>
      <c r="B26" s="294">
        <v>69217553</v>
      </c>
      <c r="C26" s="294">
        <v>0</v>
      </c>
      <c r="D26" s="294">
        <f>11446609+29310920+22596455+471520</f>
        <v>63825504</v>
      </c>
    </row>
    <row r="27" spans="1:4">
      <c r="A27" s="295" t="s">
        <v>563</v>
      </c>
      <c r="B27" s="296">
        <f>SUM(B24:B26)</f>
        <v>482028643</v>
      </c>
      <c r="C27" s="296">
        <f>SUM(C24:C26)</f>
        <v>0</v>
      </c>
      <c r="D27" s="296">
        <f>SUM(D24:D26)</f>
        <v>467681031</v>
      </c>
    </row>
    <row r="28" spans="1:4">
      <c r="A28" s="297" t="s">
        <v>434</v>
      </c>
      <c r="B28" s="298">
        <v>6293519</v>
      </c>
      <c r="C28" s="298">
        <v>0</v>
      </c>
      <c r="D28" s="298">
        <f>406009+454328+1623987+3711612</f>
        <v>6195936</v>
      </c>
    </row>
    <row r="29" spans="1:4">
      <c r="A29" s="297" t="s">
        <v>435</v>
      </c>
      <c r="B29" s="298">
        <v>444580034</v>
      </c>
      <c r="C29" s="298">
        <v>0</v>
      </c>
      <c r="D29" s="298">
        <f>2081109+6345340+4400570+456320164</f>
        <v>469147183</v>
      </c>
    </row>
    <row r="30" spans="1:4" ht="15.75" customHeight="1">
      <c r="A30" s="299" t="s">
        <v>564</v>
      </c>
      <c r="B30" s="300">
        <f>B10+B13+B18-B23-B27-B28-B29</f>
        <v>-17630994</v>
      </c>
      <c r="C30" s="300">
        <f>C10+C13+C18-C23-C27-C28-C29</f>
        <v>0</v>
      </c>
      <c r="D30" s="300">
        <f>D10+D13+D18-D23-D27-D28-D29</f>
        <v>-15590127</v>
      </c>
    </row>
    <row r="31" spans="1:4">
      <c r="A31" s="350" t="s">
        <v>565</v>
      </c>
      <c r="B31" s="294">
        <v>0</v>
      </c>
      <c r="C31" s="294">
        <v>0</v>
      </c>
      <c r="D31" s="294">
        <v>0</v>
      </c>
    </row>
    <row r="32" spans="1:4" ht="13.5" customHeight="1">
      <c r="A32" s="350" t="s">
        <v>566</v>
      </c>
      <c r="B32" s="294">
        <v>0</v>
      </c>
      <c r="C32" s="294">
        <v>0</v>
      </c>
      <c r="D32" s="294">
        <v>0</v>
      </c>
    </row>
    <row r="33" spans="1:4" ht="25.5">
      <c r="A33" s="350" t="s">
        <v>567</v>
      </c>
      <c r="B33" s="294">
        <v>0</v>
      </c>
      <c r="C33" s="294">
        <v>0</v>
      </c>
      <c r="D33" s="294">
        <v>0</v>
      </c>
    </row>
    <row r="34" spans="1:4">
      <c r="A34" s="350" t="s">
        <v>568</v>
      </c>
      <c r="B34" s="294">
        <v>4186</v>
      </c>
      <c r="C34" s="294">
        <v>0</v>
      </c>
      <c r="D34" s="294">
        <f>521+2088+1555+1877</f>
        <v>6041</v>
      </c>
    </row>
    <row r="35" spans="1:4" ht="13.5" customHeight="1">
      <c r="A35" s="350" t="s">
        <v>569</v>
      </c>
      <c r="B35" s="294"/>
      <c r="C35" s="294"/>
      <c r="D35" s="294"/>
    </row>
    <row r="36" spans="1:4" ht="25.5" customHeight="1">
      <c r="A36" s="350" t="s">
        <v>570</v>
      </c>
      <c r="B36" s="294"/>
      <c r="C36" s="294"/>
      <c r="D36" s="294"/>
    </row>
    <row r="37" spans="1:4" ht="30.75" customHeight="1">
      <c r="A37" s="350" t="s">
        <v>571</v>
      </c>
      <c r="B37" s="294"/>
      <c r="C37" s="294"/>
      <c r="D37" s="294"/>
    </row>
    <row r="38" spans="1:4" ht="25.5">
      <c r="A38" s="295" t="s">
        <v>572</v>
      </c>
      <c r="B38" s="296">
        <f>SUM(B31:B35)</f>
        <v>4186</v>
      </c>
      <c r="C38" s="296">
        <f>SUM(C31:C35)</f>
        <v>0</v>
      </c>
      <c r="D38" s="296">
        <f>SUM(D31:D35)</f>
        <v>6041</v>
      </c>
    </row>
    <row r="39" spans="1:4">
      <c r="A39" s="350" t="s">
        <v>573</v>
      </c>
      <c r="B39" s="294">
        <v>0</v>
      </c>
      <c r="C39" s="294">
        <v>0</v>
      </c>
      <c r="D39" s="294">
        <v>0</v>
      </c>
    </row>
    <row r="40" spans="1:4" ht="25.5">
      <c r="A40" s="350" t="s">
        <v>574</v>
      </c>
      <c r="B40" s="294">
        <v>0</v>
      </c>
      <c r="C40" s="294">
        <v>0</v>
      </c>
      <c r="D40" s="294">
        <v>0</v>
      </c>
    </row>
    <row r="41" spans="1:4">
      <c r="A41" s="350" t="s">
        <v>575</v>
      </c>
      <c r="B41" s="294">
        <v>0</v>
      </c>
      <c r="C41" s="294">
        <v>0</v>
      </c>
      <c r="D41" s="294">
        <v>0</v>
      </c>
    </row>
    <row r="42" spans="1:4" ht="25.5">
      <c r="A42" s="350" t="s">
        <v>576</v>
      </c>
      <c r="B42" s="294">
        <v>0</v>
      </c>
      <c r="C42" s="294">
        <v>0</v>
      </c>
      <c r="D42" s="294">
        <v>0</v>
      </c>
    </row>
    <row r="43" spans="1:4">
      <c r="A43" s="350" t="s">
        <v>577</v>
      </c>
      <c r="B43" s="294">
        <v>0</v>
      </c>
      <c r="C43" s="294">
        <v>0</v>
      </c>
      <c r="D43" s="294">
        <v>0</v>
      </c>
    </row>
    <row r="44" spans="1:4">
      <c r="A44" s="350" t="s">
        <v>578</v>
      </c>
      <c r="B44" s="294">
        <v>0</v>
      </c>
      <c r="C44" s="294">
        <v>0</v>
      </c>
      <c r="D44" s="294">
        <v>0</v>
      </c>
    </row>
    <row r="45" spans="1:4">
      <c r="A45" s="350" t="s">
        <v>579</v>
      </c>
      <c r="B45" s="294">
        <v>0</v>
      </c>
      <c r="C45" s="294">
        <v>0</v>
      </c>
      <c r="D45" s="294">
        <v>0</v>
      </c>
    </row>
    <row r="46" spans="1:4" ht="25.5">
      <c r="A46" s="350" t="s">
        <v>580</v>
      </c>
      <c r="B46" s="294">
        <v>0</v>
      </c>
      <c r="C46" s="294">
        <v>0</v>
      </c>
      <c r="D46" s="294">
        <v>0</v>
      </c>
    </row>
    <row r="47" spans="1:4" ht="25.5">
      <c r="A47" s="350" t="s">
        <v>581</v>
      </c>
      <c r="B47" s="294">
        <v>0</v>
      </c>
      <c r="C47" s="294">
        <v>0</v>
      </c>
      <c r="D47" s="294">
        <v>0</v>
      </c>
    </row>
    <row r="48" spans="1:4">
      <c r="A48" s="295" t="s">
        <v>582</v>
      </c>
      <c r="B48" s="296">
        <f>SUM(B39:B42)+B45</f>
        <v>0</v>
      </c>
      <c r="C48" s="296">
        <f>SUM(C39:C42)+C45</f>
        <v>0</v>
      </c>
      <c r="D48" s="296">
        <f>SUM(D39:D42)+D45</f>
        <v>0</v>
      </c>
    </row>
    <row r="49" spans="1:4">
      <c r="A49" s="299" t="s">
        <v>583</v>
      </c>
      <c r="B49" s="300">
        <f>B38-B48</f>
        <v>4186</v>
      </c>
      <c r="C49" s="300">
        <f>C38-C48</f>
        <v>0</v>
      </c>
      <c r="D49" s="300">
        <f>D38-D48</f>
        <v>6041</v>
      </c>
    </row>
    <row r="50" spans="1:4" ht="15.75">
      <c r="A50" s="301" t="s">
        <v>584</v>
      </c>
      <c r="B50" s="302">
        <f>B30+B49</f>
        <v>-17626808</v>
      </c>
      <c r="C50" s="302">
        <f>C30+C49</f>
        <v>0</v>
      </c>
      <c r="D50" s="302">
        <f>D30+D49</f>
        <v>-15584086</v>
      </c>
    </row>
    <row r="51" spans="1:4">
      <c r="A51" s="217"/>
      <c r="B51" s="217"/>
      <c r="C51" s="217"/>
      <c r="D51" s="217"/>
    </row>
  </sheetData>
  <mergeCells count="3">
    <mergeCell ref="A1:D1"/>
    <mergeCell ref="A2:D2"/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&amp;R 14. sz.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</sheetPr>
  <dimension ref="A1:Y79"/>
  <sheetViews>
    <sheetView topLeftCell="A58" zoomScaleNormal="100" workbookViewId="0">
      <selection activeCell="B70" sqref="B70"/>
    </sheetView>
  </sheetViews>
  <sheetFormatPr defaultRowHeight="12.75"/>
  <cols>
    <col min="1" max="1" width="7.28515625" customWidth="1"/>
    <col min="2" max="2" width="80.42578125" bestFit="1" customWidth="1"/>
    <col min="3" max="3" width="18" customWidth="1"/>
    <col min="4" max="5" width="17.5703125" customWidth="1"/>
    <col min="6" max="6" width="17.28515625" bestFit="1" customWidth="1"/>
    <col min="7" max="7" width="9.5703125" style="46" customWidth="1"/>
    <col min="8" max="8" width="3.7109375" style="46" customWidth="1"/>
    <col min="9" max="9" width="6.28515625" style="46" customWidth="1"/>
    <col min="10" max="10" width="3.5703125" style="46" customWidth="1"/>
    <col min="11" max="22" width="9.140625" style="46"/>
  </cols>
  <sheetData>
    <row r="1" spans="1:25">
      <c r="A1" s="729" t="s">
        <v>1041</v>
      </c>
      <c r="B1" s="729"/>
      <c r="C1" s="729"/>
      <c r="D1" s="729"/>
      <c r="E1" s="729"/>
      <c r="F1" s="729"/>
    </row>
    <row r="2" spans="1:25">
      <c r="A2" s="729" t="s">
        <v>1149</v>
      </c>
      <c r="B2" s="729"/>
      <c r="C2" s="729"/>
      <c r="D2" s="729"/>
      <c r="E2" s="729"/>
      <c r="F2" s="729"/>
    </row>
    <row r="3" spans="1:25" s="46" customFormat="1" ht="6" customHeight="1">
      <c r="A3" s="224"/>
      <c r="B3" s="224"/>
      <c r="C3" s="224"/>
      <c r="D3" s="224"/>
      <c r="E3" s="224"/>
      <c r="F3" s="224"/>
    </row>
    <row r="4" spans="1:25" s="46" customFormat="1" ht="1.5" customHeight="1">
      <c r="A4" s="111"/>
      <c r="B4" s="111"/>
      <c r="C4" s="111"/>
      <c r="D4" s="111"/>
      <c r="E4" s="111"/>
      <c r="F4" s="111"/>
    </row>
    <row r="5" spans="1:25" ht="19.5" customHeight="1">
      <c r="A5" s="754" t="s">
        <v>238</v>
      </c>
      <c r="B5" s="754"/>
      <c r="C5" s="754"/>
      <c r="D5" s="754"/>
      <c r="E5" s="754"/>
      <c r="F5" s="754"/>
    </row>
    <row r="6" spans="1:25" ht="13.5" customHeight="1">
      <c r="A6" s="731" t="s">
        <v>139</v>
      </c>
      <c r="B6" s="732" t="s">
        <v>134</v>
      </c>
      <c r="C6" s="633" t="s">
        <v>171</v>
      </c>
      <c r="D6" s="633" t="s">
        <v>135</v>
      </c>
      <c r="E6" s="732" t="s">
        <v>138</v>
      </c>
      <c r="F6" s="732"/>
      <c r="W6" s="46"/>
      <c r="X6" s="46"/>
      <c r="Y6" s="46"/>
    </row>
    <row r="7" spans="1:25" ht="39" customHeight="1">
      <c r="A7" s="731"/>
      <c r="B7" s="732"/>
      <c r="C7" s="732" t="s">
        <v>136</v>
      </c>
      <c r="D7" s="732"/>
      <c r="E7" s="633" t="s">
        <v>137</v>
      </c>
      <c r="F7" s="632" t="s">
        <v>170</v>
      </c>
      <c r="W7" s="46"/>
      <c r="X7" s="46"/>
      <c r="Y7" s="46"/>
    </row>
    <row r="8" spans="1:25">
      <c r="A8" s="755"/>
      <c r="B8" s="755"/>
      <c r="C8" s="755"/>
      <c r="D8" s="755"/>
      <c r="E8" s="755"/>
      <c r="F8" s="755"/>
      <c r="W8" s="46"/>
      <c r="X8" s="46"/>
      <c r="Y8" s="46"/>
    </row>
    <row r="9" spans="1:25" ht="15.75" customHeight="1">
      <c r="A9" s="736" t="s">
        <v>140</v>
      </c>
      <c r="B9" s="736"/>
      <c r="C9" s="736"/>
      <c r="D9" s="736"/>
      <c r="E9" s="736"/>
      <c r="F9" s="736"/>
      <c r="W9" s="46"/>
      <c r="X9" s="46"/>
      <c r="Y9" s="46"/>
    </row>
    <row r="10" spans="1:25" ht="28.5" customHeight="1">
      <c r="A10" s="121" t="s">
        <v>141</v>
      </c>
      <c r="B10" s="86" t="s">
        <v>185</v>
      </c>
      <c r="C10" s="276">
        <f>SUM(C11)</f>
        <v>33374724</v>
      </c>
      <c r="D10" s="276">
        <f>SUM(D11)</f>
        <v>34546345</v>
      </c>
      <c r="E10" s="276">
        <f>SUM(E11)</f>
        <v>34546345</v>
      </c>
      <c r="F10" s="118">
        <f>E10/D10*100</f>
        <v>100</v>
      </c>
      <c r="G10"/>
      <c r="W10" s="46"/>
      <c r="X10" s="46"/>
      <c r="Y10" s="46"/>
    </row>
    <row r="11" spans="1:25" ht="14.45" customHeight="1">
      <c r="A11" s="113" t="s">
        <v>158</v>
      </c>
      <c r="B11" s="636" t="s">
        <v>495</v>
      </c>
      <c r="C11" s="315">
        <v>33374724</v>
      </c>
      <c r="D11" s="315">
        <v>34546345</v>
      </c>
      <c r="E11" s="315">
        <v>34546345</v>
      </c>
      <c r="F11" s="316">
        <f>E11/D11*100</f>
        <v>100</v>
      </c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</row>
    <row r="12" spans="1:25" ht="28.5" customHeight="1">
      <c r="A12" s="121" t="s">
        <v>142</v>
      </c>
      <c r="B12" s="86" t="s">
        <v>866</v>
      </c>
      <c r="C12" s="276">
        <f>SUM(C13+C19+C20)</f>
        <v>935506437</v>
      </c>
      <c r="D12" s="276">
        <f t="shared" ref="D12:E12" si="0">SUM(D13+D19+D20)</f>
        <v>982920514</v>
      </c>
      <c r="E12" s="276">
        <f t="shared" si="0"/>
        <v>982920514</v>
      </c>
      <c r="F12" s="118">
        <f t="shared" ref="F12:F47" si="1">E12/D12*100</f>
        <v>100</v>
      </c>
      <c r="G12"/>
      <c r="W12" s="46"/>
      <c r="X12" s="46"/>
      <c r="Y12" s="46"/>
    </row>
    <row r="13" spans="1:25" s="20" customFormat="1" ht="20.100000000000001" customHeight="1">
      <c r="A13" s="121" t="s">
        <v>163</v>
      </c>
      <c r="B13" s="458" t="s">
        <v>195</v>
      </c>
      <c r="C13" s="276">
        <f>SUM(C14:C18)</f>
        <v>368611389</v>
      </c>
      <c r="D13" s="276">
        <f t="shared" ref="D13:E13" si="2">SUM(D14:D18)</f>
        <v>387608722</v>
      </c>
      <c r="E13" s="276">
        <f t="shared" si="2"/>
        <v>387608722</v>
      </c>
      <c r="F13" s="118">
        <f t="shared" si="1"/>
        <v>100</v>
      </c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ht="14.45" customHeight="1">
      <c r="A14" s="113" t="s">
        <v>491</v>
      </c>
      <c r="B14" s="636" t="s">
        <v>490</v>
      </c>
      <c r="C14" s="315">
        <v>300294416</v>
      </c>
      <c r="D14" s="315">
        <v>301547642</v>
      </c>
      <c r="E14" s="315">
        <v>301547642</v>
      </c>
      <c r="F14" s="316">
        <f t="shared" si="1"/>
        <v>100</v>
      </c>
      <c r="G14"/>
      <c r="W14" s="46"/>
      <c r="X14" s="46"/>
      <c r="Y14" s="46"/>
    </row>
    <row r="15" spans="1:25" ht="14.45" customHeight="1">
      <c r="A15" s="113" t="s">
        <v>851</v>
      </c>
      <c r="B15" s="636" t="s">
        <v>1112</v>
      </c>
      <c r="C15" s="315">
        <v>0</v>
      </c>
      <c r="D15" s="315">
        <v>9069885</v>
      </c>
      <c r="E15" s="315">
        <v>9069885</v>
      </c>
      <c r="F15" s="316">
        <f t="shared" si="1"/>
        <v>100</v>
      </c>
      <c r="G15"/>
      <c r="H15"/>
      <c r="I15"/>
      <c r="J15"/>
      <c r="K15"/>
      <c r="L15"/>
      <c r="M15"/>
      <c r="N15"/>
      <c r="O15"/>
      <c r="W15" s="46"/>
      <c r="X15" s="46"/>
      <c r="Y15" s="46"/>
    </row>
    <row r="16" spans="1:25" ht="14.45" customHeight="1">
      <c r="A16" s="113" t="s">
        <v>852</v>
      </c>
      <c r="B16" s="636" t="s">
        <v>450</v>
      </c>
      <c r="C16" s="315">
        <v>65848973</v>
      </c>
      <c r="D16" s="315">
        <v>60921731</v>
      </c>
      <c r="E16" s="315">
        <v>60921731</v>
      </c>
      <c r="F16" s="316">
        <f t="shared" si="1"/>
        <v>100</v>
      </c>
      <c r="H16" s="645"/>
      <c r="I16"/>
      <c r="J16" s="645"/>
      <c r="K16"/>
      <c r="L16"/>
      <c r="M16"/>
      <c r="N16"/>
      <c r="O16"/>
      <c r="W16" s="46"/>
      <c r="X16" s="46"/>
      <c r="Y16" s="46"/>
    </row>
    <row r="17" spans="1:25" ht="14.45" customHeight="1">
      <c r="A17" s="113" t="s">
        <v>903</v>
      </c>
      <c r="B17" s="636" t="s">
        <v>912</v>
      </c>
      <c r="C17" s="315">
        <v>2468000</v>
      </c>
      <c r="D17" s="315">
        <v>2468000</v>
      </c>
      <c r="E17" s="315">
        <v>2468000</v>
      </c>
      <c r="F17" s="316">
        <f t="shared" si="1"/>
        <v>100</v>
      </c>
      <c r="H17" s="645"/>
      <c r="I17"/>
      <c r="J17"/>
      <c r="K17"/>
      <c r="L17"/>
      <c r="M17"/>
      <c r="N17"/>
      <c r="O17"/>
      <c r="W17" s="46"/>
      <c r="X17" s="46"/>
      <c r="Y17" s="46"/>
    </row>
    <row r="18" spans="1:25" ht="14.45" customHeight="1">
      <c r="A18" s="113" t="s">
        <v>853</v>
      </c>
      <c r="B18" s="636" t="s">
        <v>1113</v>
      </c>
      <c r="C18" s="315">
        <v>0</v>
      </c>
      <c r="D18" s="315">
        <v>13601464</v>
      </c>
      <c r="E18" s="315">
        <v>13601464</v>
      </c>
      <c r="F18" s="316"/>
      <c r="H18" s="645"/>
      <c r="I18"/>
      <c r="J18"/>
      <c r="K18"/>
      <c r="L18"/>
      <c r="M18"/>
      <c r="N18"/>
      <c r="O18"/>
      <c r="W18" s="46"/>
      <c r="X18" s="46"/>
      <c r="Y18" s="46"/>
    </row>
    <row r="19" spans="1:25" s="20" customFormat="1" ht="20.100000000000001" customHeight="1">
      <c r="A19" s="121" t="s">
        <v>165</v>
      </c>
      <c r="B19" s="458" t="s">
        <v>878</v>
      </c>
      <c r="C19" s="276">
        <v>368611389</v>
      </c>
      <c r="D19" s="276">
        <v>388199158</v>
      </c>
      <c r="E19" s="276">
        <v>388199158</v>
      </c>
      <c r="F19" s="119">
        <f t="shared" si="1"/>
        <v>100</v>
      </c>
      <c r="H19" s="362"/>
      <c r="J19" s="362"/>
      <c r="P19" s="59"/>
      <c r="Q19" s="59"/>
      <c r="R19" s="59"/>
      <c r="S19" s="59"/>
      <c r="T19" s="59"/>
      <c r="U19" s="59"/>
      <c r="V19" s="59"/>
      <c r="W19" s="59"/>
      <c r="X19" s="59"/>
      <c r="Y19" s="59"/>
    </row>
    <row r="20" spans="1:25" s="20" customFormat="1" ht="20.100000000000001" customHeight="1">
      <c r="A20" s="121" t="s">
        <v>167</v>
      </c>
      <c r="B20" s="458" t="s">
        <v>879</v>
      </c>
      <c r="C20" s="276">
        <f>SUM(C21:C22,C34,C25,C35,C36)</f>
        <v>198283659</v>
      </c>
      <c r="D20" s="276">
        <f>SUM(D21:D22,D34,D25,D35,D36)</f>
        <v>207112634</v>
      </c>
      <c r="E20" s="276">
        <f>SUM(E21:E22,E34,E25,E35,E36)</f>
        <v>207112634</v>
      </c>
      <c r="F20" s="119">
        <f t="shared" si="1"/>
        <v>100</v>
      </c>
      <c r="G20" s="59"/>
      <c r="H20" s="362"/>
      <c r="J20" s="362"/>
      <c r="P20" s="59"/>
      <c r="Q20" s="59"/>
      <c r="R20" s="59"/>
      <c r="S20" s="59"/>
      <c r="T20" s="59"/>
      <c r="U20" s="59"/>
      <c r="V20" s="59"/>
      <c r="W20" s="59"/>
      <c r="X20" s="59"/>
      <c r="Y20" s="59"/>
    </row>
    <row r="21" spans="1:25" s="20" customFormat="1" ht="14.45" customHeight="1">
      <c r="A21" s="121" t="s">
        <v>487</v>
      </c>
      <c r="B21" s="458" t="s">
        <v>971</v>
      </c>
      <c r="C21" s="276">
        <v>8433464</v>
      </c>
      <c r="D21" s="276">
        <v>8434180</v>
      </c>
      <c r="E21" s="276">
        <v>8434180</v>
      </c>
      <c r="F21" s="118">
        <v>0</v>
      </c>
      <c r="H21" s="414"/>
    </row>
    <row r="22" spans="1:25" s="20" customFormat="1" ht="14.45" customHeight="1">
      <c r="A22" s="121" t="s">
        <v>488</v>
      </c>
      <c r="B22" s="458" t="s">
        <v>451</v>
      </c>
      <c r="C22" s="276">
        <f>SUM(C23:C24)</f>
        <v>12634156</v>
      </c>
      <c r="D22" s="276">
        <f>SUM(D23:D24)</f>
        <v>15708484</v>
      </c>
      <c r="E22" s="276">
        <f>SUM(E23:E24)</f>
        <v>15708484</v>
      </c>
      <c r="F22" s="118">
        <f t="shared" si="1"/>
        <v>100</v>
      </c>
      <c r="H22" s="414"/>
    </row>
    <row r="23" spans="1:25" s="20" customFormat="1" ht="14.45" customHeight="1">
      <c r="A23" s="113" t="s">
        <v>972</v>
      </c>
      <c r="B23" s="314" t="s">
        <v>1179</v>
      </c>
      <c r="C23" s="315">
        <v>12066545</v>
      </c>
      <c r="D23" s="315">
        <v>12066545</v>
      </c>
      <c r="E23" s="315">
        <v>12066545</v>
      </c>
      <c r="F23" s="316">
        <v>0</v>
      </c>
      <c r="H23" s="414"/>
    </row>
    <row r="24" spans="1:25" s="20" customFormat="1" ht="25.15" customHeight="1">
      <c r="A24" s="113" t="s">
        <v>973</v>
      </c>
      <c r="B24" s="314" t="s">
        <v>1180</v>
      </c>
      <c r="C24" s="315">
        <v>567611</v>
      </c>
      <c r="D24" s="315">
        <v>3641939</v>
      </c>
      <c r="E24" s="315">
        <v>3641939</v>
      </c>
      <c r="F24" s="316">
        <f t="shared" si="1"/>
        <v>100</v>
      </c>
      <c r="H24" s="414"/>
    </row>
    <row r="25" spans="1:25" s="20" customFormat="1" ht="14.45" customHeight="1">
      <c r="A25" s="121" t="s">
        <v>489</v>
      </c>
      <c r="B25" s="458" t="s">
        <v>974</v>
      </c>
      <c r="C25" s="276">
        <f>SUM(C26:C33)</f>
        <v>175691234</v>
      </c>
      <c r="D25" s="276">
        <f t="shared" ref="D25:E25" si="3">SUM(D26:D33)</f>
        <v>173612552</v>
      </c>
      <c r="E25" s="276">
        <f t="shared" si="3"/>
        <v>173612552</v>
      </c>
      <c r="F25" s="118">
        <f t="shared" si="1"/>
        <v>100</v>
      </c>
      <c r="H25" s="362"/>
    </row>
    <row r="26" spans="1:25" ht="14.45" customHeight="1">
      <c r="A26" s="113" t="s">
        <v>863</v>
      </c>
      <c r="B26" s="314" t="s">
        <v>920</v>
      </c>
      <c r="C26" s="315">
        <v>20239937</v>
      </c>
      <c r="D26" s="315">
        <v>20239937</v>
      </c>
      <c r="E26" s="315">
        <v>20239937</v>
      </c>
      <c r="F26" s="316">
        <f t="shared" si="1"/>
        <v>100</v>
      </c>
      <c r="G26"/>
      <c r="H26" s="352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5" ht="14.45" customHeight="1">
      <c r="A27" s="113" t="s">
        <v>864</v>
      </c>
      <c r="B27" s="314" t="s">
        <v>926</v>
      </c>
      <c r="C27" s="315">
        <v>0</v>
      </c>
      <c r="D27" s="315">
        <v>2346000</v>
      </c>
      <c r="E27" s="315">
        <v>2346000</v>
      </c>
      <c r="F27" s="316">
        <v>0</v>
      </c>
      <c r="G27"/>
      <c r="H27" s="352"/>
      <c r="I27"/>
      <c r="J27"/>
      <c r="K27"/>
      <c r="L27"/>
      <c r="M27"/>
      <c r="N27"/>
      <c r="O27"/>
      <c r="P27"/>
      <c r="Q27"/>
      <c r="R27"/>
      <c r="S27"/>
      <c r="T27"/>
      <c r="U27"/>
      <c r="V27"/>
    </row>
    <row r="28" spans="1:25" ht="14.45" customHeight="1">
      <c r="A28" s="113" t="s">
        <v>865</v>
      </c>
      <c r="B28" s="314" t="s">
        <v>858</v>
      </c>
      <c r="C28" s="315">
        <v>6740507</v>
      </c>
      <c r="D28" s="315">
        <v>6740507</v>
      </c>
      <c r="E28" s="315">
        <v>6740507</v>
      </c>
      <c r="F28" s="316">
        <f t="shared" si="1"/>
        <v>100</v>
      </c>
      <c r="G28"/>
      <c r="H28" s="352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5" ht="14.45" customHeight="1">
      <c r="A29" s="113" t="s">
        <v>975</v>
      </c>
      <c r="B29" s="314" t="s">
        <v>859</v>
      </c>
      <c r="C29" s="315">
        <v>34562543</v>
      </c>
      <c r="D29" s="315">
        <v>34562543</v>
      </c>
      <c r="E29" s="315">
        <v>34562543</v>
      </c>
      <c r="F29" s="316">
        <f t="shared" si="1"/>
        <v>100</v>
      </c>
      <c r="G29"/>
      <c r="H29" s="352"/>
      <c r="I29"/>
      <c r="J29"/>
      <c r="K29"/>
      <c r="L29"/>
      <c r="M29"/>
      <c r="N29"/>
      <c r="O29"/>
      <c r="P29"/>
      <c r="Q29"/>
      <c r="R29"/>
      <c r="S29"/>
      <c r="T29"/>
      <c r="U29"/>
      <c r="V29"/>
    </row>
    <row r="30" spans="1:25" ht="14.45" customHeight="1">
      <c r="A30" s="113" t="s">
        <v>976</v>
      </c>
      <c r="B30" s="314" t="s">
        <v>860</v>
      </c>
      <c r="C30" s="315">
        <v>35870019</v>
      </c>
      <c r="D30" s="315">
        <v>33095471</v>
      </c>
      <c r="E30" s="315">
        <v>33095471</v>
      </c>
      <c r="F30" s="316">
        <f t="shared" si="1"/>
        <v>100</v>
      </c>
      <c r="G30"/>
      <c r="H30" s="352"/>
      <c r="I30"/>
      <c r="J30"/>
      <c r="K30"/>
      <c r="L30"/>
      <c r="M30"/>
      <c r="N30"/>
      <c r="O30"/>
      <c r="P30"/>
      <c r="Q30"/>
      <c r="R30"/>
      <c r="S30"/>
      <c r="T30"/>
      <c r="U30"/>
      <c r="V30"/>
    </row>
    <row r="31" spans="1:25" ht="14.45" customHeight="1">
      <c r="A31" s="113" t="s">
        <v>977</v>
      </c>
      <c r="B31" s="314" t="s">
        <v>861</v>
      </c>
      <c r="C31" s="315">
        <v>64627335</v>
      </c>
      <c r="D31" s="315">
        <v>63009091</v>
      </c>
      <c r="E31" s="315">
        <v>63009091</v>
      </c>
      <c r="F31" s="316">
        <f t="shared" si="1"/>
        <v>100</v>
      </c>
      <c r="G31"/>
      <c r="H31" s="352"/>
      <c r="I31"/>
      <c r="J31"/>
      <c r="K31"/>
      <c r="L31"/>
      <c r="M31"/>
      <c r="N31"/>
      <c r="O31"/>
      <c r="P31"/>
      <c r="Q31"/>
      <c r="R31"/>
      <c r="S31"/>
      <c r="T31"/>
      <c r="U31"/>
      <c r="V31"/>
    </row>
    <row r="32" spans="1:25" ht="25.5" customHeight="1">
      <c r="A32" s="113" t="s">
        <v>979</v>
      </c>
      <c r="B32" s="314" t="s">
        <v>1180</v>
      </c>
      <c r="C32" s="315">
        <v>0</v>
      </c>
      <c r="D32" s="315">
        <v>64929</v>
      </c>
      <c r="E32" s="315">
        <v>64929</v>
      </c>
      <c r="F32" s="316">
        <f t="shared" si="1"/>
        <v>100</v>
      </c>
      <c r="G32"/>
      <c r="H32" s="352"/>
      <c r="I32"/>
      <c r="J32"/>
      <c r="K32"/>
      <c r="L32"/>
      <c r="M32"/>
      <c r="N32"/>
      <c r="O32"/>
      <c r="P32"/>
      <c r="Q32"/>
      <c r="R32"/>
      <c r="S32"/>
      <c r="T32"/>
      <c r="U32"/>
      <c r="V32"/>
    </row>
    <row r="33" spans="1:25" ht="14.45" customHeight="1">
      <c r="A33" s="113" t="s">
        <v>1115</v>
      </c>
      <c r="B33" s="314" t="s">
        <v>862</v>
      </c>
      <c r="C33" s="315">
        <v>13650893</v>
      </c>
      <c r="D33" s="315">
        <v>13554074</v>
      </c>
      <c r="E33" s="315">
        <v>13554074</v>
      </c>
      <c r="F33" s="316">
        <f t="shared" si="1"/>
        <v>100</v>
      </c>
      <c r="G33"/>
      <c r="H33" s="352"/>
      <c r="I33"/>
      <c r="J33"/>
      <c r="K33"/>
      <c r="L33"/>
      <c r="M33"/>
      <c r="N33"/>
      <c r="O33"/>
      <c r="P33"/>
      <c r="Q33"/>
      <c r="R33"/>
      <c r="S33"/>
      <c r="T33"/>
      <c r="U33"/>
      <c r="V33"/>
    </row>
    <row r="34" spans="1:25" ht="14.45" customHeight="1">
      <c r="A34" s="121" t="s">
        <v>876</v>
      </c>
      <c r="B34" s="458" t="s">
        <v>449</v>
      </c>
      <c r="C34" s="276">
        <v>1180872</v>
      </c>
      <c r="D34" s="276">
        <v>590436</v>
      </c>
      <c r="E34" s="276">
        <v>590436</v>
      </c>
      <c r="F34" s="316">
        <f t="shared" si="1"/>
        <v>100</v>
      </c>
      <c r="G34"/>
      <c r="H34" s="352"/>
      <c r="I34"/>
      <c r="J34"/>
      <c r="K34"/>
      <c r="L34"/>
      <c r="M34"/>
      <c r="N34"/>
      <c r="O34"/>
      <c r="P34"/>
      <c r="Q34"/>
      <c r="R34"/>
      <c r="S34"/>
      <c r="T34"/>
      <c r="U34"/>
      <c r="V34"/>
    </row>
    <row r="35" spans="1:25" s="20" customFormat="1" ht="20.100000000000001" customHeight="1">
      <c r="A35" s="121" t="s">
        <v>1116</v>
      </c>
      <c r="B35" s="458" t="s">
        <v>1150</v>
      </c>
      <c r="C35" s="276">
        <v>343933</v>
      </c>
      <c r="D35" s="276">
        <v>343933</v>
      </c>
      <c r="E35" s="276">
        <v>343933</v>
      </c>
      <c r="F35" s="316">
        <f t="shared" si="1"/>
        <v>100</v>
      </c>
      <c r="G35" s="59"/>
      <c r="J35" s="362"/>
      <c r="P35" s="59"/>
      <c r="Q35" s="59"/>
      <c r="R35" s="59"/>
      <c r="S35" s="59"/>
      <c r="T35" s="59"/>
      <c r="U35" s="59"/>
      <c r="V35" s="59"/>
      <c r="W35" s="59"/>
      <c r="X35" s="59"/>
      <c r="Y35" s="59"/>
    </row>
    <row r="36" spans="1:25" s="20" customFormat="1" ht="20.100000000000001" customHeight="1">
      <c r="A36" s="121" t="s">
        <v>1118</v>
      </c>
      <c r="B36" s="121" t="s">
        <v>1119</v>
      </c>
      <c r="C36" s="276">
        <v>0</v>
      </c>
      <c r="D36" s="276">
        <v>8423049</v>
      </c>
      <c r="E36" s="276">
        <v>8423049</v>
      </c>
      <c r="F36" s="316">
        <f t="shared" si="1"/>
        <v>100</v>
      </c>
      <c r="G36" s="59"/>
      <c r="J36" s="362"/>
      <c r="P36" s="59"/>
      <c r="Q36" s="59"/>
      <c r="R36" s="59"/>
      <c r="S36" s="59"/>
      <c r="T36" s="59"/>
      <c r="U36" s="59"/>
      <c r="V36" s="59"/>
      <c r="W36" s="59"/>
      <c r="X36" s="59"/>
      <c r="Y36" s="59"/>
    </row>
    <row r="37" spans="1:25" ht="28.5" customHeight="1">
      <c r="A37" s="121" t="s">
        <v>143</v>
      </c>
      <c r="B37" s="86" t="s">
        <v>911</v>
      </c>
      <c r="C37" s="276">
        <f>SUM(C38:C38)</f>
        <v>86041253</v>
      </c>
      <c r="D37" s="276">
        <f>SUM(D38:D38)</f>
        <v>86042662</v>
      </c>
      <c r="E37" s="276">
        <f>SUM(E38:E38)</f>
        <v>86042662</v>
      </c>
      <c r="F37" s="118">
        <f t="shared" si="1"/>
        <v>100</v>
      </c>
      <c r="G37"/>
      <c r="W37" s="46"/>
      <c r="X37" s="46"/>
      <c r="Y37" s="46"/>
    </row>
    <row r="38" spans="1:25" s="20" customFormat="1" ht="16.5" customHeight="1">
      <c r="A38" s="121" t="s">
        <v>145</v>
      </c>
      <c r="B38" s="86" t="s">
        <v>497</v>
      </c>
      <c r="C38" s="276">
        <f>SUM(C39,C43,C45,C46)</f>
        <v>86041253</v>
      </c>
      <c r="D38" s="276">
        <f>SUM(D39,D43,D45,D46,D47)</f>
        <v>86042662</v>
      </c>
      <c r="E38" s="276">
        <f>SUM(E39,E43,E45,E46,E47)</f>
        <v>86042662</v>
      </c>
      <c r="F38" s="118">
        <f t="shared" si="1"/>
        <v>100</v>
      </c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</row>
    <row r="39" spans="1:25" ht="16.5" customHeight="1">
      <c r="A39" s="552" t="s">
        <v>982</v>
      </c>
      <c r="B39" s="636" t="s">
        <v>988</v>
      </c>
      <c r="C39" s="315">
        <v>26897792</v>
      </c>
      <c r="D39" s="315">
        <v>26897792</v>
      </c>
      <c r="E39" s="315">
        <v>26897792</v>
      </c>
      <c r="F39" s="316">
        <f t="shared" si="1"/>
        <v>100</v>
      </c>
      <c r="G39"/>
      <c r="W39" s="46"/>
      <c r="X39" s="46"/>
      <c r="Y39" s="46"/>
    </row>
    <row r="40" spans="1:25" s="492" customFormat="1" ht="16.5" customHeight="1">
      <c r="A40" s="553"/>
      <c r="B40" s="406" t="s">
        <v>1181</v>
      </c>
      <c r="C40" s="105">
        <v>15754704</v>
      </c>
      <c r="D40" s="105">
        <v>15754704</v>
      </c>
      <c r="E40" s="105">
        <v>15754704</v>
      </c>
      <c r="F40" s="106">
        <f t="shared" si="1"/>
        <v>100</v>
      </c>
      <c r="H40" s="551"/>
      <c r="I40" s="551"/>
      <c r="J40" s="551"/>
      <c r="K40" s="551"/>
      <c r="L40" s="551"/>
      <c r="M40" s="551"/>
      <c r="N40" s="551"/>
      <c r="O40" s="551"/>
      <c r="P40" s="551"/>
      <c r="Q40" s="551"/>
      <c r="R40" s="551"/>
      <c r="S40" s="551"/>
      <c r="T40" s="551"/>
      <c r="U40" s="551"/>
      <c r="V40" s="551"/>
      <c r="W40" s="551"/>
      <c r="X40" s="551"/>
      <c r="Y40" s="551"/>
    </row>
    <row r="41" spans="1:25" s="492" customFormat="1" ht="27" customHeight="1">
      <c r="A41" s="553"/>
      <c r="B41" s="406" t="s">
        <v>1186</v>
      </c>
      <c r="C41" s="105">
        <v>405251</v>
      </c>
      <c r="D41" s="105">
        <v>405251</v>
      </c>
      <c r="E41" s="105">
        <v>405251</v>
      </c>
      <c r="F41" s="106">
        <f t="shared" si="1"/>
        <v>100</v>
      </c>
      <c r="H41" s="551"/>
      <c r="I41" s="551"/>
      <c r="J41" s="551"/>
      <c r="K41" s="551"/>
      <c r="L41" s="551"/>
      <c r="M41" s="551"/>
      <c r="N41" s="551"/>
      <c r="O41" s="551"/>
      <c r="P41" s="551"/>
      <c r="Q41" s="551"/>
      <c r="R41" s="551"/>
      <c r="S41" s="551"/>
      <c r="T41" s="551"/>
      <c r="U41" s="551"/>
      <c r="V41" s="551"/>
      <c r="W41" s="551"/>
      <c r="X41" s="551"/>
      <c r="Y41" s="551"/>
    </row>
    <row r="42" spans="1:25" s="492" customFormat="1" ht="16.5" customHeight="1">
      <c r="A42" s="553"/>
      <c r="B42" s="406" t="s">
        <v>989</v>
      </c>
      <c r="C42" s="105">
        <v>93998</v>
      </c>
      <c r="D42" s="105">
        <v>93998</v>
      </c>
      <c r="E42" s="105">
        <v>93998</v>
      </c>
      <c r="F42" s="106">
        <f t="shared" si="1"/>
        <v>100</v>
      </c>
      <c r="H42" s="551"/>
      <c r="I42" s="551"/>
      <c r="J42" s="551"/>
      <c r="K42" s="551"/>
      <c r="L42" s="551"/>
      <c r="M42" s="551"/>
      <c r="N42" s="551"/>
      <c r="O42" s="551"/>
      <c r="P42" s="551"/>
      <c r="Q42" s="551"/>
      <c r="R42" s="551"/>
      <c r="S42" s="551"/>
      <c r="T42" s="551"/>
      <c r="U42" s="551"/>
      <c r="V42" s="551"/>
      <c r="W42" s="551"/>
      <c r="X42" s="551"/>
      <c r="Y42" s="551"/>
    </row>
    <row r="43" spans="1:25" ht="16.5" customHeight="1">
      <c r="A43" s="552" t="s">
        <v>991</v>
      </c>
      <c r="B43" s="314" t="s">
        <v>955</v>
      </c>
      <c r="C43" s="315">
        <v>22889754</v>
      </c>
      <c r="D43" s="315">
        <v>22889754</v>
      </c>
      <c r="E43" s="315">
        <v>22889754</v>
      </c>
      <c r="F43" s="316">
        <f t="shared" si="1"/>
        <v>100</v>
      </c>
      <c r="G43"/>
      <c r="W43" s="46"/>
      <c r="X43" s="46"/>
      <c r="Y43" s="46"/>
    </row>
    <row r="44" spans="1:25" s="492" customFormat="1" ht="16.5" customHeight="1">
      <c r="A44" s="553"/>
      <c r="B44" s="475" t="s">
        <v>1181</v>
      </c>
      <c r="C44" s="105">
        <v>1467293</v>
      </c>
      <c r="D44" s="105">
        <v>1468702</v>
      </c>
      <c r="E44" s="105">
        <v>1468702</v>
      </c>
      <c r="F44" s="106">
        <f t="shared" si="1"/>
        <v>100</v>
      </c>
      <c r="H44" s="551"/>
      <c r="I44" s="551"/>
      <c r="J44" s="551"/>
      <c r="K44" s="551"/>
      <c r="L44" s="551"/>
      <c r="M44" s="551"/>
      <c r="N44" s="551"/>
      <c r="O44" s="551"/>
      <c r="P44" s="551"/>
      <c r="Q44" s="551"/>
      <c r="R44" s="551"/>
      <c r="S44" s="551"/>
      <c r="T44" s="551"/>
      <c r="U44" s="551"/>
      <c r="V44" s="551"/>
      <c r="W44" s="551"/>
      <c r="X44" s="551"/>
      <c r="Y44" s="551"/>
    </row>
    <row r="45" spans="1:25" ht="16.5" customHeight="1">
      <c r="A45" s="552" t="s">
        <v>993</v>
      </c>
      <c r="B45" s="314" t="s">
        <v>990</v>
      </c>
      <c r="C45" s="315">
        <v>28978829</v>
      </c>
      <c r="D45" s="315">
        <v>28978829</v>
      </c>
      <c r="E45" s="315">
        <v>28978829</v>
      </c>
      <c r="F45" s="316">
        <f t="shared" si="1"/>
        <v>100</v>
      </c>
      <c r="G45"/>
      <c r="W45" s="46"/>
      <c r="X45" s="46"/>
      <c r="Y45" s="46"/>
    </row>
    <row r="46" spans="1:25" ht="16.5" customHeight="1">
      <c r="A46" s="552" t="s">
        <v>992</v>
      </c>
      <c r="B46" s="314" t="s">
        <v>901</v>
      </c>
      <c r="C46" s="315">
        <v>7274878</v>
      </c>
      <c r="D46" s="315">
        <v>7274878</v>
      </c>
      <c r="E46" s="315">
        <v>7274878</v>
      </c>
      <c r="F46" s="316">
        <f t="shared" si="1"/>
        <v>100</v>
      </c>
      <c r="G46"/>
      <c r="W46" s="46"/>
      <c r="X46" s="46"/>
      <c r="Y46" s="46"/>
    </row>
    <row r="47" spans="1:25" ht="25.5">
      <c r="A47" s="652" t="s">
        <v>1151</v>
      </c>
      <c r="B47" s="458" t="s">
        <v>1126</v>
      </c>
      <c r="C47" s="276"/>
      <c r="D47" s="276">
        <v>1409</v>
      </c>
      <c r="E47" s="276">
        <v>1409</v>
      </c>
      <c r="F47" s="118">
        <f t="shared" si="1"/>
        <v>100</v>
      </c>
      <c r="G47"/>
      <c r="W47" s="46"/>
      <c r="X47" s="46"/>
      <c r="Y47" s="46"/>
    </row>
    <row r="48" spans="1:25" s="158" customFormat="1" ht="15.75" customHeight="1">
      <c r="A48" s="745" t="s">
        <v>183</v>
      </c>
      <c r="B48" s="746"/>
      <c r="C48" s="183">
        <f>SUM(C10+C12+C37)</f>
        <v>1054922414</v>
      </c>
      <c r="D48" s="183">
        <f>SUM(D10+D12+D37)</f>
        <v>1103509521</v>
      </c>
      <c r="E48" s="183">
        <f>SUM(E10+E12+E37)</f>
        <v>1103509521</v>
      </c>
      <c r="F48" s="184">
        <f>E48/D48*100</f>
        <v>100</v>
      </c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</row>
    <row r="49" spans="1:25" s="158" customFormat="1" ht="20.100000000000001" customHeight="1">
      <c r="A49" s="121" t="s">
        <v>147</v>
      </c>
      <c r="B49" s="86" t="s">
        <v>119</v>
      </c>
      <c r="C49" s="70"/>
      <c r="D49" s="70"/>
      <c r="E49" s="70">
        <v>373557</v>
      </c>
      <c r="F49" s="11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</row>
    <row r="50" spans="1:25" s="158" customFormat="1" ht="15.75" customHeight="1">
      <c r="A50" s="745" t="s">
        <v>74</v>
      </c>
      <c r="B50" s="746"/>
      <c r="C50" s="183">
        <f>SUM(C48:C49)</f>
        <v>1054922414</v>
      </c>
      <c r="D50" s="183">
        <f>SUM(D48:D49)</f>
        <v>1103509521</v>
      </c>
      <c r="E50" s="183">
        <f>SUM(E48:E49)</f>
        <v>1103883078</v>
      </c>
      <c r="F50" s="184">
        <f>E50/D50*100</f>
        <v>100.033851724239</v>
      </c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</row>
    <row r="51" spans="1:25" s="2" customFormat="1">
      <c r="A51" s="756"/>
      <c r="B51" s="756"/>
      <c r="C51" s="756"/>
      <c r="D51" s="756"/>
      <c r="E51" s="756"/>
      <c r="F51" s="756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</row>
    <row r="52" spans="1:25" ht="15.75" customHeight="1">
      <c r="A52" s="747" t="s">
        <v>153</v>
      </c>
      <c r="B52" s="748"/>
      <c r="C52" s="748"/>
      <c r="D52" s="748"/>
      <c r="E52" s="748"/>
      <c r="F52" s="749"/>
      <c r="W52" s="46"/>
      <c r="X52" s="46"/>
      <c r="Y52" s="46"/>
    </row>
    <row r="53" spans="1:25" s="20" customFormat="1" ht="28.5" customHeight="1">
      <c r="A53" s="121" t="s">
        <v>141</v>
      </c>
      <c r="B53" s="649" t="s">
        <v>154</v>
      </c>
      <c r="C53" s="70">
        <f>C54+C55+C56+C57+C70</f>
        <v>1054922414</v>
      </c>
      <c r="D53" s="70">
        <f t="shared" ref="D53:E53" si="4">D54+D55+D56+D57+D70</f>
        <v>1103509521</v>
      </c>
      <c r="E53" s="70">
        <f t="shared" si="4"/>
        <v>1029966685</v>
      </c>
      <c r="F53" s="317">
        <f t="shared" ref="F53:F70" si="5">ROUND(E53/D53*100,1)</f>
        <v>93.3</v>
      </c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</row>
    <row r="54" spans="1:25" ht="20.100000000000001" customHeight="1">
      <c r="A54" s="113" t="s">
        <v>158</v>
      </c>
      <c r="B54" s="653" t="s">
        <v>155</v>
      </c>
      <c r="C54" s="18">
        <v>434264539</v>
      </c>
      <c r="D54" s="18">
        <v>424897218</v>
      </c>
      <c r="E54" s="18">
        <v>403210160</v>
      </c>
      <c r="F54" s="310">
        <f t="shared" si="5"/>
        <v>94.9</v>
      </c>
      <c r="W54" s="46"/>
      <c r="X54" s="46"/>
      <c r="Y54" s="46"/>
    </row>
    <row r="55" spans="1:25" ht="20.100000000000001" customHeight="1">
      <c r="A55" s="113" t="s">
        <v>159</v>
      </c>
      <c r="B55" s="653" t="s">
        <v>156</v>
      </c>
      <c r="C55" s="18">
        <v>67154725</v>
      </c>
      <c r="D55" s="18">
        <v>69832348</v>
      </c>
      <c r="E55" s="18">
        <v>66490109</v>
      </c>
      <c r="F55" s="310">
        <f t="shared" si="5"/>
        <v>95.2</v>
      </c>
      <c r="W55" s="46"/>
      <c r="X55" s="46"/>
      <c r="Y55" s="46"/>
    </row>
    <row r="56" spans="1:25" ht="20.100000000000001" customHeight="1">
      <c r="A56" s="113" t="s">
        <v>160</v>
      </c>
      <c r="B56" s="653" t="s">
        <v>157</v>
      </c>
      <c r="C56" s="18">
        <v>131636196</v>
      </c>
      <c r="D56" s="18">
        <v>153116865</v>
      </c>
      <c r="E56" s="18">
        <v>104603326</v>
      </c>
      <c r="F56" s="310">
        <f t="shared" si="5"/>
        <v>68.3</v>
      </c>
      <c r="W56" s="46"/>
      <c r="X56" s="46"/>
      <c r="Y56" s="46"/>
    </row>
    <row r="57" spans="1:25" ht="20.100000000000001" customHeight="1">
      <c r="A57" s="113" t="s">
        <v>161</v>
      </c>
      <c r="B57" s="653" t="s">
        <v>436</v>
      </c>
      <c r="C57" s="18">
        <f>SUM(C58:C69)</f>
        <v>421866954</v>
      </c>
      <c r="D57" s="18">
        <f>SUM(D58:D69)</f>
        <v>454613090</v>
      </c>
      <c r="E57" s="18">
        <f>SUM(E58:E69)</f>
        <v>454613090</v>
      </c>
      <c r="F57" s="310">
        <f t="shared" si="5"/>
        <v>100</v>
      </c>
      <c r="W57" s="46"/>
      <c r="X57" s="46"/>
      <c r="Y57" s="46"/>
    </row>
    <row r="58" spans="1:25" ht="14.25" customHeight="1">
      <c r="A58" s="176" t="s">
        <v>498</v>
      </c>
      <c r="B58" s="646" t="s">
        <v>856</v>
      </c>
      <c r="C58" s="107">
        <v>3810000</v>
      </c>
      <c r="D58" s="107">
        <v>3810000</v>
      </c>
      <c r="E58" s="107">
        <v>3810000</v>
      </c>
      <c r="F58" s="310">
        <f t="shared" si="5"/>
        <v>100</v>
      </c>
      <c r="W58" s="46"/>
      <c r="X58" s="46"/>
      <c r="Y58" s="46"/>
    </row>
    <row r="59" spans="1:25" ht="14.25" customHeight="1">
      <c r="A59" s="176" t="s">
        <v>499</v>
      </c>
      <c r="B59" s="646" t="s">
        <v>845</v>
      </c>
      <c r="C59" s="107">
        <v>8269000</v>
      </c>
      <c r="D59" s="107">
        <v>8269000</v>
      </c>
      <c r="E59" s="107">
        <v>8269000</v>
      </c>
      <c r="F59" s="310">
        <f t="shared" si="5"/>
        <v>100</v>
      </c>
      <c r="W59" s="46"/>
      <c r="X59" s="46"/>
      <c r="Y59" s="46"/>
    </row>
    <row r="60" spans="1:25" ht="14.25" customHeight="1">
      <c r="A60" s="176" t="s">
        <v>500</v>
      </c>
      <c r="B60" s="646" t="s">
        <v>503</v>
      </c>
      <c r="C60" s="107">
        <v>6500000</v>
      </c>
      <c r="D60" s="107">
        <v>6500000</v>
      </c>
      <c r="E60" s="107">
        <v>6500000</v>
      </c>
      <c r="F60" s="310">
        <f t="shared" si="5"/>
        <v>100</v>
      </c>
      <c r="W60" s="46"/>
      <c r="X60" s="46"/>
      <c r="Y60" s="46"/>
    </row>
    <row r="61" spans="1:25" ht="14.25" customHeight="1">
      <c r="A61" s="176" t="s">
        <v>501</v>
      </c>
      <c r="B61" s="646" t="s">
        <v>846</v>
      </c>
      <c r="C61" s="107">
        <v>33692196</v>
      </c>
      <c r="D61" s="107">
        <v>33692196</v>
      </c>
      <c r="E61" s="107">
        <v>33692196</v>
      </c>
      <c r="F61" s="310">
        <f t="shared" si="5"/>
        <v>100</v>
      </c>
      <c r="W61" s="46"/>
      <c r="X61" s="46"/>
      <c r="Y61" s="46"/>
    </row>
    <row r="62" spans="1:25" ht="15" customHeight="1">
      <c r="A62" s="176" t="s">
        <v>502</v>
      </c>
      <c r="B62" s="646" t="s">
        <v>969</v>
      </c>
      <c r="C62" s="107">
        <v>50000</v>
      </c>
      <c r="D62" s="107">
        <v>50000</v>
      </c>
      <c r="E62" s="107">
        <v>50000</v>
      </c>
      <c r="F62" s="310">
        <f t="shared" si="5"/>
        <v>100</v>
      </c>
      <c r="W62" s="46"/>
      <c r="X62" s="46"/>
      <c r="Y62" s="46"/>
    </row>
    <row r="63" spans="1:25" ht="15" customHeight="1">
      <c r="A63" s="176" t="s">
        <v>1127</v>
      </c>
      <c r="B63" s="646" t="s">
        <v>1128</v>
      </c>
      <c r="C63" s="107">
        <v>343933</v>
      </c>
      <c r="D63" s="107">
        <v>343933</v>
      </c>
      <c r="E63" s="107">
        <v>343933</v>
      </c>
      <c r="F63" s="310">
        <f t="shared" si="5"/>
        <v>100</v>
      </c>
      <c r="W63" s="46"/>
      <c r="X63" s="46"/>
      <c r="Y63" s="46"/>
    </row>
    <row r="64" spans="1:25" ht="15" customHeight="1">
      <c r="A64" s="176" t="s">
        <v>1145</v>
      </c>
      <c r="B64" s="646" t="s">
        <v>1130</v>
      </c>
      <c r="C64" s="107">
        <v>590436</v>
      </c>
      <c r="D64" s="107">
        <v>0</v>
      </c>
      <c r="E64" s="107">
        <v>0</v>
      </c>
      <c r="F64" s="310">
        <v>0</v>
      </c>
      <c r="W64" s="46"/>
      <c r="X64" s="46"/>
      <c r="Y64" s="46"/>
    </row>
    <row r="65" spans="1:25" ht="15" customHeight="1">
      <c r="A65" s="176" t="s">
        <v>1131</v>
      </c>
      <c r="B65" s="646" t="s">
        <v>1132</v>
      </c>
      <c r="C65" s="107">
        <v>0</v>
      </c>
      <c r="D65" s="107">
        <v>4920000</v>
      </c>
      <c r="E65" s="107">
        <v>4920000</v>
      </c>
      <c r="F65" s="310">
        <f t="shared" si="5"/>
        <v>100</v>
      </c>
      <c r="W65" s="46"/>
      <c r="X65" s="46"/>
      <c r="Y65" s="46"/>
    </row>
    <row r="66" spans="1:25" ht="15" customHeight="1">
      <c r="A66" s="176" t="s">
        <v>1133</v>
      </c>
      <c r="B66" s="646" t="s">
        <v>1134</v>
      </c>
      <c r="C66" s="107">
        <v>0</v>
      </c>
      <c r="D66" s="107">
        <v>503</v>
      </c>
      <c r="E66" s="107">
        <v>503</v>
      </c>
      <c r="F66" s="310">
        <f t="shared" si="5"/>
        <v>100</v>
      </c>
      <c r="W66" s="46"/>
      <c r="X66" s="46"/>
      <c r="Y66" s="46"/>
    </row>
    <row r="67" spans="1:25" ht="25.5">
      <c r="A67" s="176" t="s">
        <v>1135</v>
      </c>
      <c r="B67" s="647" t="s">
        <v>1183</v>
      </c>
      <c r="C67" s="107">
        <v>0</v>
      </c>
      <c r="D67" s="107">
        <v>405251</v>
      </c>
      <c r="E67" s="107">
        <v>405251</v>
      </c>
      <c r="F67" s="310">
        <f t="shared" si="5"/>
        <v>100</v>
      </c>
      <c r="W67" s="46"/>
      <c r="X67" s="46"/>
      <c r="Y67" s="46"/>
    </row>
    <row r="68" spans="1:25">
      <c r="A68" s="176" t="s">
        <v>1136</v>
      </c>
      <c r="B68" s="647" t="s">
        <v>1137</v>
      </c>
      <c r="C68" s="107">
        <v>0</v>
      </c>
      <c r="D68" s="107">
        <v>8423049</v>
      </c>
      <c r="E68" s="107">
        <v>8423049</v>
      </c>
      <c r="F68" s="310">
        <f t="shared" si="5"/>
        <v>100</v>
      </c>
      <c r="W68" s="46"/>
      <c r="X68" s="46"/>
      <c r="Y68" s="46"/>
    </row>
    <row r="69" spans="1:25" ht="14.25" customHeight="1">
      <c r="A69" s="176" t="s">
        <v>1138</v>
      </c>
      <c r="B69" s="648" t="s">
        <v>452</v>
      </c>
      <c r="C69" s="107">
        <v>368611389</v>
      </c>
      <c r="D69" s="107">
        <v>388199158</v>
      </c>
      <c r="E69" s="107">
        <v>388199158</v>
      </c>
      <c r="F69" s="310">
        <f t="shared" si="5"/>
        <v>100</v>
      </c>
      <c r="W69" s="46"/>
      <c r="X69" s="46"/>
      <c r="Y69" s="46"/>
    </row>
    <row r="70" spans="1:25" ht="29.25" customHeight="1">
      <c r="A70" s="113" t="s">
        <v>1147</v>
      </c>
      <c r="B70" s="406" t="s">
        <v>1198</v>
      </c>
      <c r="C70" s="18">
        <v>0</v>
      </c>
      <c r="D70" s="18">
        <v>1050000</v>
      </c>
      <c r="E70" s="18">
        <v>1050000</v>
      </c>
      <c r="F70" s="310">
        <f t="shared" si="5"/>
        <v>100</v>
      </c>
      <c r="W70" s="46"/>
      <c r="X70" s="46"/>
      <c r="Y70" s="46"/>
    </row>
    <row r="71" spans="1:25" s="174" customFormat="1" ht="20.25" customHeight="1">
      <c r="A71" s="740" t="s">
        <v>179</v>
      </c>
      <c r="B71" s="741"/>
      <c r="C71" s="172">
        <f>C53</f>
        <v>1054922414</v>
      </c>
      <c r="D71" s="172">
        <f t="shared" ref="D71:E71" si="6">D53</f>
        <v>1103509521</v>
      </c>
      <c r="E71" s="172">
        <f t="shared" si="6"/>
        <v>1029966685</v>
      </c>
      <c r="F71" s="175">
        <f>E71/D71*100</f>
        <v>93.335550387154299</v>
      </c>
      <c r="G71" s="173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</row>
    <row r="72" spans="1:25" s="158" customFormat="1" ht="20.100000000000001" customHeight="1">
      <c r="A72" s="121" t="s">
        <v>142</v>
      </c>
      <c r="B72" s="86" t="s">
        <v>120</v>
      </c>
      <c r="C72" s="70"/>
      <c r="D72" s="70"/>
      <c r="E72" s="70">
        <v>405044</v>
      </c>
      <c r="F72" s="317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</row>
    <row r="73" spans="1:25" s="174" customFormat="1" ht="20.25" customHeight="1">
      <c r="A73" s="740" t="s">
        <v>75</v>
      </c>
      <c r="B73" s="741"/>
      <c r="C73" s="172">
        <f>SUM(C71:C72)</f>
        <v>1054922414</v>
      </c>
      <c r="D73" s="172">
        <f>SUM(D71:D72)</f>
        <v>1103509521</v>
      </c>
      <c r="E73" s="172">
        <f>SUM(E71:E72)</f>
        <v>1030371729</v>
      </c>
      <c r="F73" s="175">
        <f>E73/D73*100</f>
        <v>93.37225546239759</v>
      </c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</row>
    <row r="74" spans="1:25" s="2" customFormat="1" ht="20.25" customHeight="1">
      <c r="A74" s="752" t="s">
        <v>169</v>
      </c>
      <c r="B74" s="753"/>
      <c r="C74" s="117">
        <v>120.5</v>
      </c>
      <c r="D74" s="117">
        <v>119.5</v>
      </c>
      <c r="E74" s="117">
        <v>119.5</v>
      </c>
      <c r="F74" s="175">
        <f>E74/D74*100</f>
        <v>100</v>
      </c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</row>
    <row r="75" spans="1:25" s="46" customFormat="1">
      <c r="A75" s="109"/>
      <c r="D75" s="110"/>
      <c r="E75" s="110"/>
    </row>
    <row r="76" spans="1:25" s="46" customFormat="1">
      <c r="A76" s="109"/>
    </row>
    <row r="77" spans="1:25" s="46" customFormat="1"/>
    <row r="78" spans="1:25" s="46" customFormat="1"/>
    <row r="79" spans="1:25" s="46" customFormat="1"/>
  </sheetData>
  <mergeCells count="16">
    <mergeCell ref="A71:B71"/>
    <mergeCell ref="A73:B73"/>
    <mergeCell ref="A74:B74"/>
    <mergeCell ref="A1:F1"/>
    <mergeCell ref="A2:F2"/>
    <mergeCell ref="A5:F5"/>
    <mergeCell ref="A6:A7"/>
    <mergeCell ref="B6:B7"/>
    <mergeCell ref="E6:F6"/>
    <mergeCell ref="C7:D7"/>
    <mergeCell ref="A8:F8"/>
    <mergeCell ref="A9:F9"/>
    <mergeCell ref="A48:B48"/>
    <mergeCell ref="A50:B50"/>
    <mergeCell ref="A51:F51"/>
    <mergeCell ref="A52:F52"/>
  </mergeCells>
  <printOptions horizontalCentered="1"/>
  <pageMargins left="0.74803149606299213" right="0.55118110236220474" top="0.78740157480314965" bottom="0.78740157480314965" header="0.51181102362204722" footer="0.51181102362204722"/>
  <pageSetup paperSize="9" scale="48" orientation="portrait" r:id="rId1"/>
  <headerFooter alignWithMargins="0">
    <oddHeader>&amp;R2. számú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</sheetPr>
  <dimension ref="A1:Z71"/>
  <sheetViews>
    <sheetView zoomScaleNormal="100" workbookViewId="0">
      <selection activeCell="B37" sqref="B37"/>
    </sheetView>
  </sheetViews>
  <sheetFormatPr defaultRowHeight="12.75"/>
  <cols>
    <col min="1" max="1" width="5.7109375" style="1" customWidth="1"/>
    <col min="2" max="2" width="91.7109375" customWidth="1"/>
    <col min="3" max="3" width="15.5703125" customWidth="1"/>
    <col min="4" max="5" width="16.140625" bestFit="1" customWidth="1"/>
    <col min="6" max="6" width="17.42578125" bestFit="1" customWidth="1"/>
    <col min="7" max="11" width="9.140625" style="46"/>
    <col min="12" max="12" width="14.28515625" style="354" customWidth="1"/>
    <col min="13" max="18" width="9.140625" style="46"/>
  </cols>
  <sheetData>
    <row r="1" spans="1:26">
      <c r="A1" s="729" t="s">
        <v>1041</v>
      </c>
      <c r="B1" s="729"/>
      <c r="C1" s="729"/>
      <c r="D1" s="729"/>
      <c r="E1" s="729"/>
      <c r="F1" s="729"/>
    </row>
    <row r="2" spans="1:26">
      <c r="A2" s="729" t="s">
        <v>19</v>
      </c>
      <c r="B2" s="729"/>
      <c r="C2" s="729"/>
      <c r="D2" s="729"/>
      <c r="E2" s="729"/>
      <c r="F2" s="729"/>
    </row>
    <row r="3" spans="1:26">
      <c r="A3" s="729" t="s">
        <v>1152</v>
      </c>
      <c r="B3" s="729"/>
      <c r="C3" s="729"/>
      <c r="D3" s="729"/>
      <c r="E3" s="729"/>
      <c r="F3" s="729"/>
    </row>
    <row r="4" spans="1:26" s="46" customFormat="1" ht="25.5" customHeight="1">
      <c r="A4" s="109"/>
      <c r="L4" s="354"/>
    </row>
    <row r="5" spans="1:26" ht="19.5" customHeight="1">
      <c r="A5" s="754" t="s">
        <v>238</v>
      </c>
      <c r="B5" s="754"/>
      <c r="C5" s="754"/>
      <c r="D5" s="754"/>
      <c r="E5" s="754"/>
      <c r="F5" s="754"/>
    </row>
    <row r="6" spans="1:26" s="20" customFormat="1" ht="13.5" customHeight="1">
      <c r="A6" s="760" t="s">
        <v>139</v>
      </c>
      <c r="B6" s="732" t="s">
        <v>134</v>
      </c>
      <c r="C6" s="633" t="s">
        <v>171</v>
      </c>
      <c r="D6" s="633" t="s">
        <v>135</v>
      </c>
      <c r="E6" s="732" t="s">
        <v>138</v>
      </c>
      <c r="F6" s="732"/>
      <c r="G6" s="59"/>
      <c r="H6" s="59"/>
      <c r="I6" s="59"/>
      <c r="J6" s="59"/>
      <c r="K6" s="59"/>
      <c r="L6" s="361"/>
      <c r="M6" s="59"/>
      <c r="N6" s="59"/>
      <c r="O6" s="59"/>
      <c r="P6" s="59"/>
      <c r="Q6" s="59"/>
      <c r="R6" s="59"/>
    </row>
    <row r="7" spans="1:26" s="20" customFormat="1" ht="39" customHeight="1">
      <c r="A7" s="760"/>
      <c r="B7" s="732"/>
      <c r="C7" s="732" t="s">
        <v>136</v>
      </c>
      <c r="D7" s="732"/>
      <c r="E7" s="633" t="s">
        <v>137</v>
      </c>
      <c r="F7" s="632" t="s">
        <v>170</v>
      </c>
      <c r="G7" s="59"/>
      <c r="H7" s="59"/>
      <c r="I7" s="59"/>
      <c r="J7" s="59"/>
      <c r="K7" s="59"/>
      <c r="L7" s="361"/>
      <c r="M7" s="59"/>
      <c r="N7" s="59"/>
      <c r="O7" s="59"/>
      <c r="P7" s="59"/>
      <c r="Q7" s="59"/>
      <c r="R7" s="59"/>
    </row>
    <row r="8" spans="1:26" ht="14.25" customHeight="1">
      <c r="A8" s="757"/>
      <c r="B8" s="757"/>
      <c r="C8" s="757"/>
      <c r="D8" s="757"/>
      <c r="E8" s="757"/>
      <c r="F8" s="757"/>
    </row>
    <row r="9" spans="1:26" ht="15.6" customHeight="1">
      <c r="A9" s="736" t="s">
        <v>140</v>
      </c>
      <c r="B9" s="758"/>
      <c r="C9" s="758"/>
      <c r="D9" s="758"/>
      <c r="E9" s="758"/>
      <c r="F9" s="758"/>
    </row>
    <row r="10" spans="1:26" ht="28.5" customHeight="1">
      <c r="A10" s="121" t="s">
        <v>141</v>
      </c>
      <c r="B10" s="86" t="s">
        <v>496</v>
      </c>
      <c r="C10" s="276">
        <f>SUM(C11,C16,C18)</f>
        <v>892917</v>
      </c>
      <c r="D10" s="276">
        <f t="shared" ref="D10:E10" si="0">SUM(D11,D16,D18)</f>
        <v>1377137</v>
      </c>
      <c r="E10" s="276">
        <f t="shared" si="0"/>
        <v>1377137</v>
      </c>
      <c r="F10" s="118">
        <f>E10/D10*100</f>
        <v>100</v>
      </c>
      <c r="S10" s="46"/>
      <c r="T10" s="46"/>
      <c r="U10" s="46"/>
      <c r="V10" s="46"/>
      <c r="W10" s="46"/>
      <c r="X10" s="46"/>
      <c r="Y10" s="46"/>
      <c r="Z10" s="46"/>
    </row>
    <row r="11" spans="1:26" s="20" customFormat="1" ht="20.100000000000001" customHeight="1">
      <c r="A11" s="121" t="s">
        <v>158</v>
      </c>
      <c r="B11" s="458" t="s">
        <v>974</v>
      </c>
      <c r="C11" s="276">
        <f>SUM(C12:C15)</f>
        <v>892917</v>
      </c>
      <c r="D11" s="276">
        <f>SUM(D12:D15)</f>
        <v>892917</v>
      </c>
      <c r="E11" s="276">
        <f>SUM(E12:E15)</f>
        <v>892917</v>
      </c>
      <c r="F11" s="118">
        <f t="shared" ref="F11:F18" si="1">E11/D11*100</f>
        <v>100</v>
      </c>
      <c r="G11" s="59"/>
      <c r="H11" s="59"/>
      <c r="I11" s="59"/>
      <c r="J11" s="59"/>
      <c r="K11" s="59"/>
      <c r="L11" s="361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</row>
    <row r="12" spans="1:26" ht="20.100000000000001" customHeight="1">
      <c r="A12" s="113" t="s">
        <v>1169</v>
      </c>
      <c r="B12" s="314" t="s">
        <v>984</v>
      </c>
      <c r="C12" s="315">
        <v>92917</v>
      </c>
      <c r="D12" s="315">
        <v>92917</v>
      </c>
      <c r="E12" s="315">
        <v>92917</v>
      </c>
      <c r="F12" s="316">
        <f t="shared" si="1"/>
        <v>100</v>
      </c>
      <c r="S12" s="46"/>
      <c r="T12" s="46"/>
      <c r="U12" s="46"/>
      <c r="V12" s="46"/>
      <c r="W12" s="46"/>
      <c r="X12" s="46"/>
      <c r="Y12" s="46"/>
      <c r="Z12" s="46"/>
    </row>
    <row r="13" spans="1:26" ht="20.100000000000001" customHeight="1">
      <c r="A13" s="113" t="s">
        <v>994</v>
      </c>
      <c r="B13" s="314" t="s">
        <v>985</v>
      </c>
      <c r="C13" s="315">
        <v>450000</v>
      </c>
      <c r="D13" s="315">
        <v>450000</v>
      </c>
      <c r="E13" s="315">
        <v>450000</v>
      </c>
      <c r="F13" s="316">
        <f t="shared" si="1"/>
        <v>100</v>
      </c>
      <c r="S13" s="46"/>
      <c r="T13" s="46"/>
      <c r="U13" s="46"/>
      <c r="V13" s="46"/>
      <c r="W13" s="46"/>
      <c r="X13" s="46"/>
      <c r="Y13" s="46"/>
      <c r="Z13" s="46"/>
    </row>
    <row r="14" spans="1:26" ht="20.100000000000001" customHeight="1">
      <c r="A14" s="113" t="s">
        <v>995</v>
      </c>
      <c r="B14" s="314" t="s">
        <v>986</v>
      </c>
      <c r="C14" s="315">
        <v>250000</v>
      </c>
      <c r="D14" s="315">
        <v>250000</v>
      </c>
      <c r="E14" s="315">
        <v>250000</v>
      </c>
      <c r="F14" s="316">
        <f t="shared" si="1"/>
        <v>100</v>
      </c>
      <c r="S14" s="46"/>
      <c r="T14" s="46"/>
      <c r="U14" s="46"/>
      <c r="V14" s="46"/>
      <c r="W14" s="46"/>
      <c r="X14" s="46"/>
      <c r="Y14" s="46"/>
      <c r="Z14" s="46"/>
    </row>
    <row r="15" spans="1:26" ht="14.45" customHeight="1">
      <c r="A15" s="1" t="s">
        <v>996</v>
      </c>
      <c r="B15" s="314" t="s">
        <v>987</v>
      </c>
      <c r="C15" s="315">
        <v>100000</v>
      </c>
      <c r="D15" s="315">
        <v>100000</v>
      </c>
      <c r="E15" s="315">
        <v>100000</v>
      </c>
      <c r="F15" s="316">
        <f t="shared" si="1"/>
        <v>100</v>
      </c>
    </row>
    <row r="16" spans="1:26" ht="14.45" customHeight="1">
      <c r="A16" s="654" t="s">
        <v>1171</v>
      </c>
      <c r="B16" s="458" t="s">
        <v>1122</v>
      </c>
      <c r="C16" s="276">
        <f>SUM(C17:C17)</f>
        <v>0</v>
      </c>
      <c r="D16" s="276">
        <f>SUM(D17:D17)</f>
        <v>242110</v>
      </c>
      <c r="E16" s="276">
        <f>SUM(E17:E17)</f>
        <v>242110</v>
      </c>
      <c r="F16" s="316">
        <f t="shared" si="1"/>
        <v>100</v>
      </c>
    </row>
    <row r="17" spans="1:26" s="20" customFormat="1" ht="20.100000000000001" customHeight="1">
      <c r="A17" s="113" t="s">
        <v>909</v>
      </c>
      <c r="B17" s="636" t="s">
        <v>1154</v>
      </c>
      <c r="C17" s="315">
        <v>0</v>
      </c>
      <c r="D17" s="315">
        <v>242110</v>
      </c>
      <c r="E17" s="315">
        <v>242110</v>
      </c>
      <c r="F17" s="316">
        <f t="shared" si="1"/>
        <v>100</v>
      </c>
      <c r="L17" s="362"/>
    </row>
    <row r="18" spans="1:26" s="20" customFormat="1" ht="20.100000000000001" customHeight="1">
      <c r="A18" s="121" t="s">
        <v>1153</v>
      </c>
      <c r="B18" s="458" t="s">
        <v>953</v>
      </c>
      <c r="C18" s="276">
        <v>0</v>
      </c>
      <c r="D18" s="276">
        <v>242110</v>
      </c>
      <c r="E18" s="276">
        <v>242110</v>
      </c>
      <c r="F18" s="118">
        <f t="shared" si="1"/>
        <v>100</v>
      </c>
      <c r="G18" s="59"/>
      <c r="H18" s="59"/>
      <c r="I18" s="59"/>
      <c r="J18" s="59"/>
      <c r="K18" s="59"/>
      <c r="L18" s="361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</row>
    <row r="19" spans="1:26" s="20" customFormat="1" ht="20.100000000000001" customHeight="1">
      <c r="A19" s="121" t="s">
        <v>142</v>
      </c>
      <c r="B19" s="458" t="s">
        <v>910</v>
      </c>
      <c r="C19" s="276">
        <f>SUM(C20:C24)</f>
        <v>2873846</v>
      </c>
      <c r="D19" s="276">
        <f>SUM(D20:D24)</f>
        <v>2872437</v>
      </c>
      <c r="E19" s="276">
        <f t="shared" ref="E19" si="2">SUM(E20:E24)</f>
        <v>2872437</v>
      </c>
      <c r="F19" s="118">
        <f>E19/D19*100</f>
        <v>100</v>
      </c>
      <c r="G19" s="59"/>
      <c r="H19" s="59"/>
      <c r="I19" s="59"/>
      <c r="J19" s="59"/>
      <c r="K19" s="59"/>
      <c r="L19" s="361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</row>
    <row r="20" spans="1:26" ht="20.100000000000001" customHeight="1">
      <c r="A20" s="113" t="s">
        <v>163</v>
      </c>
      <c r="B20" s="314" t="s">
        <v>1182</v>
      </c>
      <c r="C20" s="315">
        <v>2051767</v>
      </c>
      <c r="D20" s="315">
        <v>2051767</v>
      </c>
      <c r="E20" s="315">
        <v>2051767</v>
      </c>
      <c r="F20" s="316">
        <f t="shared" ref="F20:F24" si="3">E20/D20*100</f>
        <v>100</v>
      </c>
      <c r="S20" s="46"/>
      <c r="T20" s="46"/>
      <c r="U20" s="46"/>
      <c r="V20" s="46"/>
      <c r="W20" s="46"/>
      <c r="X20" s="46"/>
      <c r="Y20" s="46"/>
      <c r="Z20" s="46"/>
    </row>
    <row r="21" spans="1:26" ht="26.25" customHeight="1">
      <c r="A21" s="113" t="s">
        <v>165</v>
      </c>
      <c r="B21" s="636" t="s">
        <v>988</v>
      </c>
      <c r="C21" s="315">
        <v>807083</v>
      </c>
      <c r="D21" s="315">
        <v>807083</v>
      </c>
      <c r="E21" s="315">
        <v>807083</v>
      </c>
      <c r="F21" s="316">
        <f t="shared" si="3"/>
        <v>100</v>
      </c>
      <c r="G21"/>
      <c r="H21"/>
      <c r="I21"/>
      <c r="J21"/>
      <c r="K21"/>
      <c r="L21" s="352"/>
      <c r="M21"/>
      <c r="N21"/>
      <c r="O21"/>
      <c r="P21"/>
      <c r="Q21"/>
      <c r="R21"/>
    </row>
    <row r="22" spans="1:26" ht="20.100000000000001" customHeight="1">
      <c r="A22" s="113" t="s">
        <v>167</v>
      </c>
      <c r="B22" s="314" t="s">
        <v>901</v>
      </c>
      <c r="C22" s="315">
        <v>10246</v>
      </c>
      <c r="D22" s="315">
        <v>10246</v>
      </c>
      <c r="E22" s="315">
        <v>10246</v>
      </c>
      <c r="F22" s="316">
        <f t="shared" si="3"/>
        <v>100</v>
      </c>
      <c r="S22" s="46"/>
      <c r="T22" s="46"/>
      <c r="U22" s="46"/>
      <c r="V22" s="46"/>
      <c r="W22" s="46"/>
      <c r="X22" s="46"/>
      <c r="Y22" s="46"/>
      <c r="Z22" s="46"/>
    </row>
    <row r="23" spans="1:26" ht="29.45" customHeight="1">
      <c r="A23" s="113" t="s">
        <v>168</v>
      </c>
      <c r="B23" s="314" t="s">
        <v>1180</v>
      </c>
      <c r="C23" s="315">
        <v>4750</v>
      </c>
      <c r="D23" s="315">
        <v>4750</v>
      </c>
      <c r="E23" s="315">
        <v>4750</v>
      </c>
      <c r="F23" s="316">
        <f t="shared" si="3"/>
        <v>100</v>
      </c>
      <c r="S23" s="46"/>
      <c r="T23" s="46"/>
      <c r="U23" s="46"/>
      <c r="V23" s="46"/>
      <c r="W23" s="46"/>
      <c r="X23" s="46"/>
      <c r="Y23" s="46"/>
      <c r="Z23" s="46"/>
    </row>
    <row r="24" spans="1:26" ht="29.45" customHeight="1">
      <c r="A24" s="652" t="s">
        <v>1155</v>
      </c>
      <c r="B24" s="458" t="s">
        <v>1126</v>
      </c>
      <c r="C24" s="315"/>
      <c r="D24" s="315">
        <v>-1409</v>
      </c>
      <c r="E24" s="315">
        <v>-1409</v>
      </c>
      <c r="F24" s="316">
        <f t="shared" si="3"/>
        <v>100</v>
      </c>
      <c r="S24" s="46"/>
      <c r="T24" s="46"/>
      <c r="U24" s="46"/>
      <c r="V24" s="46"/>
      <c r="W24" s="46"/>
      <c r="X24" s="46"/>
      <c r="Y24" s="46"/>
      <c r="Z24" s="46"/>
    </row>
    <row r="25" spans="1:26" s="174" customFormat="1" ht="15.6" customHeight="1">
      <c r="A25" s="740" t="s">
        <v>183</v>
      </c>
      <c r="B25" s="741"/>
      <c r="C25" s="172">
        <f>SUM(C10,C19)</f>
        <v>3766763</v>
      </c>
      <c r="D25" s="172">
        <f>SUM(D10,D19)</f>
        <v>4249574</v>
      </c>
      <c r="E25" s="172">
        <f>SUM(E10,E19)</f>
        <v>4249574</v>
      </c>
      <c r="F25" s="175">
        <f>E25/D25*100</f>
        <v>100</v>
      </c>
      <c r="G25" s="173"/>
      <c r="H25" s="173"/>
      <c r="I25" s="173"/>
      <c r="J25" s="173"/>
      <c r="K25" s="173"/>
      <c r="L25" s="359"/>
      <c r="M25" s="173"/>
      <c r="N25" s="173"/>
      <c r="O25" s="173"/>
      <c r="P25" s="173"/>
      <c r="Q25" s="173"/>
      <c r="R25" s="173"/>
    </row>
    <row r="26" spans="1:26" ht="10.5" customHeight="1">
      <c r="A26" s="750"/>
      <c r="B26" s="750"/>
      <c r="C26" s="750"/>
      <c r="D26" s="750"/>
      <c r="E26" s="750"/>
      <c r="F26" s="750"/>
    </row>
    <row r="27" spans="1:26" ht="15.6" customHeight="1">
      <c r="A27" s="759" t="s">
        <v>153</v>
      </c>
      <c r="B27" s="736"/>
      <c r="C27" s="736"/>
      <c r="D27" s="736"/>
      <c r="E27" s="736"/>
      <c r="F27" s="736"/>
    </row>
    <row r="28" spans="1:26" s="20" customFormat="1" ht="28.5" customHeight="1">
      <c r="A28" s="121" t="s">
        <v>141</v>
      </c>
      <c r="B28" s="86" t="s">
        <v>162</v>
      </c>
      <c r="C28" s="70">
        <f>SUM(C29+C35+C37)</f>
        <v>3766763</v>
      </c>
      <c r="D28" s="70">
        <f>SUM(D29+D35+D37)</f>
        <v>4249574</v>
      </c>
      <c r="E28" s="70">
        <f>SUM(E29+E35+E37)</f>
        <v>3172273</v>
      </c>
      <c r="F28" s="317">
        <f>E28/D28*100</f>
        <v>74.649200131589666</v>
      </c>
      <c r="G28" s="59"/>
      <c r="H28" s="59"/>
      <c r="I28" s="59"/>
      <c r="J28" s="59"/>
      <c r="K28" s="59"/>
      <c r="L28" s="361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</row>
    <row r="29" spans="1:26" s="20" customFormat="1" ht="20.100000000000001" customHeight="1">
      <c r="A29" s="121" t="s">
        <v>158</v>
      </c>
      <c r="B29" s="86" t="s">
        <v>164</v>
      </c>
      <c r="C29" s="70">
        <f>SUM(C30:C34)</f>
        <v>842530</v>
      </c>
      <c r="D29" s="70">
        <f>SUM(D30:D34)</f>
        <v>1083231</v>
      </c>
      <c r="E29" s="70">
        <f>SUM(E30:E34)</f>
        <v>1052307</v>
      </c>
      <c r="F29" s="317">
        <f>E29/D29*100</f>
        <v>97.145207254962244</v>
      </c>
      <c r="G29" s="59"/>
      <c r="H29" s="59"/>
      <c r="I29" s="59"/>
      <c r="J29" s="59"/>
      <c r="K29" s="59"/>
      <c r="L29" s="361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</row>
    <row r="30" spans="1:26" ht="33.75" customHeight="1">
      <c r="A30" s="113" t="s">
        <v>904</v>
      </c>
      <c r="B30" s="474" t="s">
        <v>1156</v>
      </c>
      <c r="C30" s="18">
        <v>450000</v>
      </c>
      <c r="D30" s="18">
        <v>450000</v>
      </c>
      <c r="E30" s="18">
        <v>449997</v>
      </c>
      <c r="F30" s="310">
        <f t="shared" ref="F30:F39" si="4">E30/D30*100</f>
        <v>99.999333333333325</v>
      </c>
      <c r="S30" s="46"/>
      <c r="T30" s="46"/>
      <c r="U30" s="46"/>
      <c r="V30" s="46"/>
      <c r="W30" s="46"/>
      <c r="X30" s="46"/>
      <c r="Y30" s="46"/>
      <c r="Z30" s="46"/>
    </row>
    <row r="31" spans="1:26" ht="33.75" customHeight="1">
      <c r="A31" s="113" t="s">
        <v>905</v>
      </c>
      <c r="B31" s="474" t="s">
        <v>1157</v>
      </c>
      <c r="C31" s="18">
        <v>110246</v>
      </c>
      <c r="D31" s="18">
        <v>110246</v>
      </c>
      <c r="E31" s="18">
        <v>110200</v>
      </c>
      <c r="F31" s="310">
        <f t="shared" si="4"/>
        <v>99.958275130163457</v>
      </c>
      <c r="S31" s="46"/>
      <c r="T31" s="46"/>
      <c r="U31" s="46"/>
      <c r="V31" s="46"/>
      <c r="W31" s="46"/>
      <c r="X31" s="46"/>
      <c r="Y31" s="46"/>
      <c r="Z31" s="46"/>
    </row>
    <row r="32" spans="1:26" ht="33.75" customHeight="1">
      <c r="A32" s="113" t="s">
        <v>906</v>
      </c>
      <c r="B32" s="486" t="s">
        <v>970</v>
      </c>
      <c r="C32" s="18">
        <v>250000</v>
      </c>
      <c r="D32" s="18">
        <v>492110</v>
      </c>
      <c r="E32" s="18">
        <v>492110</v>
      </c>
      <c r="F32" s="310">
        <f t="shared" si="4"/>
        <v>100</v>
      </c>
      <c r="S32" s="46"/>
      <c r="T32" s="46"/>
      <c r="U32" s="46"/>
      <c r="V32" s="46"/>
      <c r="W32" s="46"/>
      <c r="X32" s="46"/>
      <c r="Y32" s="46"/>
      <c r="Z32" s="46"/>
    </row>
    <row r="33" spans="1:26" ht="33.75" customHeight="1">
      <c r="A33" s="113" t="s">
        <v>907</v>
      </c>
      <c r="B33" s="314" t="s">
        <v>966</v>
      </c>
      <c r="C33" s="18">
        <v>4750</v>
      </c>
      <c r="D33" s="18">
        <v>3341</v>
      </c>
      <c r="E33" s="18">
        <v>0</v>
      </c>
      <c r="F33" s="310">
        <f t="shared" si="4"/>
        <v>0</v>
      </c>
      <c r="S33" s="46"/>
      <c r="T33" s="46"/>
      <c r="U33" s="46"/>
      <c r="V33" s="46"/>
      <c r="W33" s="46"/>
      <c r="X33" s="46"/>
      <c r="Y33" s="46"/>
      <c r="Z33" s="46"/>
    </row>
    <row r="34" spans="1:26" ht="33.75" customHeight="1">
      <c r="A34" s="113" t="s">
        <v>908</v>
      </c>
      <c r="B34" s="314" t="s">
        <v>1189</v>
      </c>
      <c r="C34" s="18">
        <v>27534</v>
      </c>
      <c r="D34" s="18">
        <v>27534</v>
      </c>
      <c r="E34" s="18">
        <v>0</v>
      </c>
      <c r="F34" s="310">
        <f t="shared" si="4"/>
        <v>0</v>
      </c>
      <c r="S34" s="46"/>
      <c r="T34" s="46"/>
      <c r="U34" s="46"/>
      <c r="V34" s="46"/>
      <c r="W34" s="46"/>
      <c r="X34" s="46"/>
      <c r="Y34" s="46"/>
      <c r="Z34" s="46"/>
    </row>
    <row r="35" spans="1:26" s="20" customFormat="1" ht="20.100000000000001" customHeight="1">
      <c r="A35" s="121" t="s">
        <v>159</v>
      </c>
      <c r="B35" s="86" t="s">
        <v>166</v>
      </c>
      <c r="C35" s="70">
        <f>SUM(C36:C36)</f>
        <v>2024233</v>
      </c>
      <c r="D35" s="70">
        <f>SUM(D36:D36)</f>
        <v>2024233</v>
      </c>
      <c r="E35" s="70">
        <f>SUM(E36:E36)</f>
        <v>1877856</v>
      </c>
      <c r="F35" s="317">
        <f>E35/D35*100</f>
        <v>92.768767231835469</v>
      </c>
      <c r="G35" s="59"/>
      <c r="H35" s="59"/>
      <c r="I35" s="59"/>
      <c r="J35" s="59"/>
      <c r="K35" s="59"/>
      <c r="L35" s="361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</row>
    <row r="36" spans="1:26" s="20" customFormat="1" ht="29.25" customHeight="1">
      <c r="A36" s="113" t="s">
        <v>909</v>
      </c>
      <c r="B36" s="474" t="s">
        <v>1190</v>
      </c>
      <c r="C36" s="18">
        <v>2024233</v>
      </c>
      <c r="D36" s="18">
        <v>2024233</v>
      </c>
      <c r="E36" s="18">
        <v>1877856</v>
      </c>
      <c r="F36" s="310">
        <f t="shared" si="4"/>
        <v>92.768767231835469</v>
      </c>
      <c r="G36" s="59"/>
      <c r="H36" s="59"/>
      <c r="I36" s="59"/>
      <c r="J36" s="59"/>
      <c r="K36" s="59"/>
      <c r="L36" s="361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</row>
    <row r="37" spans="1:26" ht="20.100000000000001" customHeight="1">
      <c r="A37" s="121" t="s">
        <v>160</v>
      </c>
      <c r="B37" s="86" t="s">
        <v>954</v>
      </c>
      <c r="C37" s="70">
        <f>SUM(C38:C39)</f>
        <v>900000</v>
      </c>
      <c r="D37" s="70">
        <f>SUM(D38:D39)</f>
        <v>1142110</v>
      </c>
      <c r="E37" s="70">
        <f>SUM(E38:E39)</f>
        <v>242110</v>
      </c>
      <c r="F37" s="317">
        <f t="shared" si="4"/>
        <v>21.198483508593743</v>
      </c>
      <c r="S37" s="46"/>
      <c r="T37" s="46"/>
      <c r="U37" s="46"/>
      <c r="V37" s="46"/>
      <c r="W37" s="46"/>
      <c r="X37" s="46"/>
      <c r="Y37" s="46"/>
      <c r="Z37" s="46"/>
    </row>
    <row r="38" spans="1:26" ht="20.100000000000001" customHeight="1">
      <c r="A38" s="113" t="s">
        <v>927</v>
      </c>
      <c r="B38" s="636" t="s">
        <v>1009</v>
      </c>
      <c r="C38" s="18">
        <v>900000</v>
      </c>
      <c r="D38" s="18">
        <v>900000</v>
      </c>
      <c r="E38" s="18">
        <v>0</v>
      </c>
      <c r="F38" s="310">
        <f t="shared" si="4"/>
        <v>0</v>
      </c>
      <c r="S38" s="46"/>
      <c r="T38" s="46"/>
      <c r="U38" s="46"/>
      <c r="V38" s="46"/>
      <c r="W38" s="46"/>
      <c r="X38" s="46"/>
      <c r="Y38" s="46"/>
      <c r="Z38" s="46"/>
    </row>
    <row r="39" spans="1:26" ht="20.100000000000001" customHeight="1">
      <c r="A39" s="113" t="s">
        <v>928</v>
      </c>
      <c r="B39" s="636" t="s">
        <v>953</v>
      </c>
      <c r="C39" s="18">
        <v>0</v>
      </c>
      <c r="D39" s="18">
        <v>242110</v>
      </c>
      <c r="E39" s="18">
        <v>242110</v>
      </c>
      <c r="F39" s="310">
        <f t="shared" si="4"/>
        <v>100</v>
      </c>
      <c r="S39" s="46"/>
      <c r="T39" s="46"/>
      <c r="U39" s="46"/>
      <c r="V39" s="46"/>
      <c r="W39" s="46"/>
      <c r="X39" s="46"/>
      <c r="Y39" s="46"/>
      <c r="Z39" s="46"/>
    </row>
    <row r="40" spans="1:26" s="174" customFormat="1" ht="15.6" customHeight="1">
      <c r="A40" s="740" t="s">
        <v>179</v>
      </c>
      <c r="B40" s="741"/>
      <c r="C40" s="172">
        <f>SUM(C28)</f>
        <v>3766763</v>
      </c>
      <c r="D40" s="172">
        <f>SUM(D28)</f>
        <v>4249574</v>
      </c>
      <c r="E40" s="172">
        <f>SUM(E28)</f>
        <v>3172273</v>
      </c>
      <c r="F40" s="185">
        <f>E40/D40*100</f>
        <v>74.649200131589666</v>
      </c>
      <c r="G40" s="173"/>
      <c r="H40" s="173"/>
      <c r="I40" s="173"/>
      <c r="J40" s="173"/>
      <c r="K40" s="173"/>
      <c r="L40" s="359"/>
      <c r="M40" s="173"/>
      <c r="N40" s="173"/>
      <c r="O40" s="173"/>
      <c r="P40" s="173"/>
      <c r="Q40" s="173"/>
      <c r="R40" s="173"/>
    </row>
    <row r="41" spans="1:26" s="46" customFormat="1">
      <c r="A41" s="109"/>
      <c r="L41" s="354"/>
    </row>
    <row r="42" spans="1:26" s="46" customFormat="1">
      <c r="A42" s="109"/>
      <c r="L42" s="354"/>
    </row>
    <row r="43" spans="1:26" s="46" customFormat="1">
      <c r="A43" s="109"/>
      <c r="L43" s="354"/>
    </row>
    <row r="44" spans="1:26" s="46" customFormat="1">
      <c r="A44" s="109"/>
      <c r="L44" s="354"/>
    </row>
    <row r="45" spans="1:26" s="46" customFormat="1">
      <c r="A45" s="109"/>
      <c r="L45" s="354"/>
    </row>
    <row r="46" spans="1:26" s="46" customFormat="1">
      <c r="A46" s="109"/>
      <c r="L46" s="354"/>
    </row>
    <row r="47" spans="1:26" s="46" customFormat="1">
      <c r="A47" s="109"/>
      <c r="L47" s="354"/>
    </row>
    <row r="48" spans="1:26" s="46" customFormat="1">
      <c r="A48" s="109"/>
      <c r="E48"/>
      <c r="L48" s="354"/>
    </row>
    <row r="49" spans="1:12" s="46" customFormat="1">
      <c r="A49" s="109"/>
      <c r="L49" s="354"/>
    </row>
    <row r="50" spans="1:12" s="46" customFormat="1">
      <c r="A50" s="109"/>
      <c r="L50" s="354"/>
    </row>
    <row r="51" spans="1:12" s="46" customFormat="1">
      <c r="A51" s="109"/>
      <c r="L51" s="354"/>
    </row>
    <row r="52" spans="1:12" s="46" customFormat="1">
      <c r="A52" s="109"/>
      <c r="L52" s="354"/>
    </row>
    <row r="53" spans="1:12" s="46" customFormat="1">
      <c r="A53" s="109"/>
      <c r="L53" s="354"/>
    </row>
    <row r="54" spans="1:12" s="46" customFormat="1">
      <c r="A54" s="109"/>
      <c r="L54" s="354"/>
    </row>
    <row r="55" spans="1:12" s="46" customFormat="1">
      <c r="A55" s="109"/>
      <c r="L55" s="354"/>
    </row>
    <row r="56" spans="1:12" s="46" customFormat="1">
      <c r="A56" s="109"/>
      <c r="L56" s="354"/>
    </row>
    <row r="57" spans="1:12" s="46" customFormat="1">
      <c r="A57" s="109"/>
      <c r="L57" s="354"/>
    </row>
    <row r="58" spans="1:12" s="46" customFormat="1">
      <c r="A58" s="109"/>
      <c r="L58" s="354"/>
    </row>
    <row r="59" spans="1:12" s="46" customFormat="1">
      <c r="A59" s="109"/>
      <c r="L59" s="354"/>
    </row>
    <row r="60" spans="1:12" s="46" customFormat="1">
      <c r="A60" s="109"/>
      <c r="L60" s="354"/>
    </row>
    <row r="61" spans="1:12" s="46" customFormat="1">
      <c r="A61" s="109"/>
      <c r="L61" s="354"/>
    </row>
    <row r="62" spans="1:12" s="46" customFormat="1">
      <c r="A62" s="109"/>
      <c r="L62" s="354"/>
    </row>
    <row r="63" spans="1:12" s="46" customFormat="1">
      <c r="A63" s="109"/>
      <c r="L63" s="354"/>
    </row>
    <row r="64" spans="1:12" s="46" customFormat="1">
      <c r="A64" s="109"/>
      <c r="E64"/>
      <c r="L64" s="354"/>
    </row>
    <row r="65" spans="1:12" s="46" customFormat="1">
      <c r="A65" s="109"/>
      <c r="L65" s="354"/>
    </row>
    <row r="66" spans="1:12" s="46" customFormat="1">
      <c r="A66" s="109"/>
      <c r="L66" s="354"/>
    </row>
    <row r="67" spans="1:12" s="46" customFormat="1">
      <c r="A67" s="109"/>
      <c r="L67" s="354"/>
    </row>
    <row r="68" spans="1:12" s="46" customFormat="1">
      <c r="A68" s="109"/>
      <c r="L68" s="354"/>
    </row>
    <row r="69" spans="1:12" s="46" customFormat="1">
      <c r="A69" s="109"/>
      <c r="L69" s="354"/>
    </row>
    <row r="70" spans="1:12" s="46" customFormat="1">
      <c r="A70" s="109"/>
      <c r="L70" s="354"/>
    </row>
    <row r="71" spans="1:12" s="46" customFormat="1">
      <c r="A71" s="109"/>
      <c r="L71" s="354"/>
    </row>
  </sheetData>
  <mergeCells count="14">
    <mergeCell ref="A1:F1"/>
    <mergeCell ref="A2:F2"/>
    <mergeCell ref="A3:F3"/>
    <mergeCell ref="A5:F5"/>
    <mergeCell ref="A6:A7"/>
    <mergeCell ref="B6:B7"/>
    <mergeCell ref="E6:F6"/>
    <mergeCell ref="C7:D7"/>
    <mergeCell ref="A40:B40"/>
    <mergeCell ref="A8:F8"/>
    <mergeCell ref="A9:F9"/>
    <mergeCell ref="A25:B25"/>
    <mergeCell ref="A26:F26"/>
    <mergeCell ref="A27:F27"/>
  </mergeCells>
  <printOptions horizontalCentered="1"/>
  <pageMargins left="0.47244094488188981" right="0.43307086614173229" top="0.86614173228346458" bottom="0.98425196850393704" header="0.47244094488188981" footer="0.51181102362204722"/>
  <pageSetup paperSize="9" scale="50" orientation="landscape" r:id="rId1"/>
  <headerFooter alignWithMargins="0">
    <oddHeader>&amp;R3. számú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>
    <tabColor theme="4" tint="0.39997558519241921"/>
  </sheetPr>
  <dimension ref="A1:T96"/>
  <sheetViews>
    <sheetView topLeftCell="A50" zoomScaleNormal="100" workbookViewId="0">
      <selection activeCell="D56" sqref="D56"/>
    </sheetView>
  </sheetViews>
  <sheetFormatPr defaultRowHeight="12.75"/>
  <cols>
    <col min="1" max="1" width="7.140625" customWidth="1"/>
    <col min="2" max="2" width="60.7109375" customWidth="1"/>
    <col min="3" max="4" width="18.42578125" bestFit="1" customWidth="1"/>
    <col min="5" max="6" width="12.85546875" customWidth="1"/>
    <col min="7" max="7" width="18.42578125" bestFit="1" customWidth="1"/>
    <col min="8" max="8" width="17.28515625" bestFit="1" customWidth="1"/>
    <col min="9" max="19" width="9.140625" style="46"/>
    <col min="20" max="20" width="12.7109375" style="352" bestFit="1" customWidth="1"/>
  </cols>
  <sheetData>
    <row r="1" spans="1:20">
      <c r="A1" s="729" t="s">
        <v>1041</v>
      </c>
      <c r="B1" s="729"/>
      <c r="C1" s="729"/>
      <c r="D1" s="729"/>
      <c r="E1" s="729"/>
      <c r="F1" s="729"/>
      <c r="G1" s="729"/>
      <c r="H1" s="729"/>
    </row>
    <row r="2" spans="1:20">
      <c r="A2" s="729" t="s">
        <v>1158</v>
      </c>
      <c r="B2" s="729"/>
      <c r="C2" s="729"/>
      <c r="D2" s="729"/>
      <c r="E2" s="729"/>
      <c r="F2" s="729"/>
      <c r="G2" s="729"/>
      <c r="H2" s="729"/>
    </row>
    <row r="3" spans="1:20" s="46" customFormat="1" ht="2.25" customHeight="1">
      <c r="A3" s="123"/>
      <c r="B3" s="123"/>
      <c r="C3" s="123"/>
      <c r="D3" s="123"/>
      <c r="E3" s="123"/>
      <c r="F3" s="123"/>
      <c r="G3" s="123"/>
      <c r="H3" s="123"/>
      <c r="T3" s="354"/>
    </row>
    <row r="4" spans="1:20" s="46" customFormat="1" ht="4.5" customHeight="1">
      <c r="A4" s="111"/>
      <c r="B4" s="111"/>
      <c r="C4" s="111"/>
      <c r="D4" s="111"/>
      <c r="E4" s="111"/>
      <c r="F4" s="111"/>
      <c r="G4" s="111"/>
      <c r="H4" s="111"/>
      <c r="T4" s="354"/>
    </row>
    <row r="5" spans="1:20" ht="13.5" customHeight="1">
      <c r="A5" s="754" t="s">
        <v>238</v>
      </c>
      <c r="B5" s="754"/>
      <c r="C5" s="754"/>
      <c r="D5" s="754"/>
      <c r="E5" s="754"/>
      <c r="F5" s="754"/>
      <c r="G5" s="754"/>
      <c r="H5" s="754"/>
    </row>
    <row r="6" spans="1:20" ht="18" customHeight="1">
      <c r="A6" s="731" t="s">
        <v>139</v>
      </c>
      <c r="B6" s="732" t="s">
        <v>134</v>
      </c>
      <c r="C6" s="633" t="s">
        <v>171</v>
      </c>
      <c r="D6" s="633" t="s">
        <v>135</v>
      </c>
      <c r="E6" s="743" t="s">
        <v>241</v>
      </c>
      <c r="F6" s="744"/>
      <c r="G6" s="732" t="s">
        <v>138</v>
      </c>
      <c r="H6" s="732"/>
    </row>
    <row r="7" spans="1:20" ht="40.5" customHeight="1">
      <c r="A7" s="731"/>
      <c r="B7" s="732"/>
      <c r="C7" s="732" t="s">
        <v>921</v>
      </c>
      <c r="D7" s="732"/>
      <c r="E7" s="79" t="s">
        <v>242</v>
      </c>
      <c r="F7" s="79" t="s">
        <v>243</v>
      </c>
      <c r="G7" s="633" t="s">
        <v>137</v>
      </c>
      <c r="H7" s="79" t="s">
        <v>170</v>
      </c>
    </row>
    <row r="8" spans="1:20">
      <c r="A8" s="755"/>
      <c r="B8" s="755"/>
      <c r="C8" s="755"/>
      <c r="D8" s="755"/>
      <c r="E8" s="755"/>
      <c r="F8" s="755"/>
      <c r="G8" s="755"/>
      <c r="H8" s="755"/>
    </row>
    <row r="9" spans="1:20" s="10" customFormat="1" ht="18" customHeight="1">
      <c r="A9" s="736" t="s">
        <v>140</v>
      </c>
      <c r="B9" s="736"/>
      <c r="C9" s="736"/>
      <c r="D9" s="736"/>
      <c r="E9" s="736"/>
      <c r="F9" s="736"/>
      <c r="G9" s="736"/>
      <c r="H9" s="736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127"/>
    </row>
    <row r="10" spans="1:20" s="10" customFormat="1" ht="24.95" customHeight="1">
      <c r="A10" s="655" t="s">
        <v>141</v>
      </c>
      <c r="B10" s="656" t="s">
        <v>185</v>
      </c>
      <c r="C10" s="657">
        <f>SUM(C11)</f>
        <v>33374724</v>
      </c>
      <c r="D10" s="657">
        <f>SUM(D11)</f>
        <v>34546345</v>
      </c>
      <c r="E10" s="657">
        <f>SUM(E11)</f>
        <v>0</v>
      </c>
      <c r="F10" s="657">
        <f>SUM(F11)</f>
        <v>0</v>
      </c>
      <c r="G10" s="657">
        <f>SUM(G11)</f>
        <v>34546345</v>
      </c>
      <c r="H10" s="658">
        <f>G10/D10*100</f>
        <v>100</v>
      </c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127"/>
    </row>
    <row r="11" spans="1:20" s="10" customFormat="1" ht="18" customHeight="1">
      <c r="A11" s="113" t="s">
        <v>1159</v>
      </c>
      <c r="B11" s="636" t="s">
        <v>144</v>
      </c>
      <c r="C11" s="315">
        <f>SUM(C12:C21)</f>
        <v>33374724</v>
      </c>
      <c r="D11" s="315">
        <f>SUM(D12:D21)</f>
        <v>34546345</v>
      </c>
      <c r="E11" s="315">
        <f>SUM(E12:E21)</f>
        <v>0</v>
      </c>
      <c r="F11" s="315">
        <f>SUM(F12:F21)</f>
        <v>0</v>
      </c>
      <c r="G11" s="315">
        <f>SUM(G12:G21)</f>
        <v>34546345</v>
      </c>
      <c r="H11" s="316">
        <f t="shared" ref="H11:H22" si="0">G11/D11*100</f>
        <v>100</v>
      </c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127"/>
    </row>
    <row r="12" spans="1:20" s="19" customFormat="1" ht="18" customHeight="1">
      <c r="A12" s="114"/>
      <c r="B12" s="475" t="s">
        <v>873</v>
      </c>
      <c r="C12" s="105">
        <v>0</v>
      </c>
      <c r="D12" s="105">
        <v>0</v>
      </c>
      <c r="E12" s="105"/>
      <c r="F12" s="105"/>
      <c r="G12" s="105">
        <v>0</v>
      </c>
      <c r="H12" s="316">
        <v>0</v>
      </c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659"/>
    </row>
    <row r="13" spans="1:20" s="19" customFormat="1" ht="18" customHeight="1">
      <c r="A13" s="241"/>
      <c r="B13" s="242" t="s">
        <v>244</v>
      </c>
      <c r="C13" s="243">
        <v>0</v>
      </c>
      <c r="D13" s="243">
        <v>0</v>
      </c>
      <c r="E13" s="243"/>
      <c r="F13" s="243"/>
      <c r="G13" s="243">
        <v>0</v>
      </c>
      <c r="H13" s="316">
        <v>0</v>
      </c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659"/>
    </row>
    <row r="14" spans="1:20" s="19" customFormat="1" ht="18" customHeight="1">
      <c r="A14" s="241"/>
      <c r="B14" s="242" t="s">
        <v>871</v>
      </c>
      <c r="C14" s="243">
        <v>0</v>
      </c>
      <c r="D14" s="243">
        <v>0</v>
      </c>
      <c r="E14" s="243"/>
      <c r="F14" s="243"/>
      <c r="G14" s="243">
        <v>0</v>
      </c>
      <c r="H14" s="316">
        <v>0</v>
      </c>
      <c r="I14" s="122"/>
      <c r="J14" s="122"/>
      <c r="K14" s="407"/>
      <c r="L14" s="122"/>
      <c r="M14" s="122"/>
      <c r="N14" s="122"/>
      <c r="O14" s="122"/>
      <c r="P14" s="122"/>
      <c r="Q14" s="122"/>
      <c r="R14" s="122"/>
      <c r="S14" s="122"/>
      <c r="T14" s="659"/>
    </row>
    <row r="15" spans="1:20" s="19" customFormat="1" ht="18" customHeight="1">
      <c r="A15" s="241"/>
      <c r="B15" s="242" t="s">
        <v>872</v>
      </c>
      <c r="C15" s="243">
        <v>93000</v>
      </c>
      <c r="D15" s="243">
        <v>118186</v>
      </c>
      <c r="E15" s="243"/>
      <c r="F15" s="243"/>
      <c r="G15" s="243">
        <v>118186</v>
      </c>
      <c r="H15" s="316">
        <f t="shared" si="0"/>
        <v>100</v>
      </c>
      <c r="I15" s="122"/>
      <c r="J15" s="122"/>
      <c r="K15" s="407"/>
      <c r="L15" s="122"/>
      <c r="M15" s="122"/>
      <c r="N15" s="122"/>
      <c r="O15" s="122"/>
      <c r="P15" s="122"/>
      <c r="Q15" s="122"/>
      <c r="R15" s="122"/>
      <c r="S15" s="122"/>
      <c r="T15" s="659"/>
    </row>
    <row r="16" spans="1:20" s="19" customFormat="1" ht="18" customHeight="1">
      <c r="A16" s="241"/>
      <c r="B16" s="242" t="s">
        <v>245</v>
      </c>
      <c r="C16" s="243">
        <v>30647100</v>
      </c>
      <c r="D16" s="243">
        <v>30514588</v>
      </c>
      <c r="E16" s="243"/>
      <c r="F16" s="243"/>
      <c r="G16" s="243">
        <v>30514588</v>
      </c>
      <c r="H16" s="316">
        <f t="shared" si="0"/>
        <v>100</v>
      </c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659"/>
    </row>
    <row r="17" spans="1:20" s="19" customFormat="1" ht="18" customHeight="1">
      <c r="A17" s="241"/>
      <c r="B17" s="242" t="s">
        <v>246</v>
      </c>
      <c r="C17" s="243">
        <v>1794624</v>
      </c>
      <c r="D17" s="243">
        <v>1731134</v>
      </c>
      <c r="E17" s="243"/>
      <c r="F17" s="243"/>
      <c r="G17" s="243">
        <v>1731134</v>
      </c>
      <c r="H17" s="316">
        <f t="shared" si="0"/>
        <v>100</v>
      </c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659"/>
    </row>
    <row r="18" spans="1:20" s="19" customFormat="1" ht="18" customHeight="1">
      <c r="A18" s="241"/>
      <c r="B18" s="242" t="s">
        <v>247</v>
      </c>
      <c r="C18" s="243">
        <v>822000</v>
      </c>
      <c r="D18" s="243">
        <v>2107000</v>
      </c>
      <c r="E18" s="243"/>
      <c r="F18" s="243"/>
      <c r="G18" s="243">
        <v>2107000</v>
      </c>
      <c r="H18" s="316">
        <f t="shared" si="0"/>
        <v>100</v>
      </c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659"/>
    </row>
    <row r="19" spans="1:20" s="19" customFormat="1" ht="18" customHeight="1">
      <c r="A19" s="241"/>
      <c r="B19" s="242" t="s">
        <v>248</v>
      </c>
      <c r="C19" s="243">
        <v>6000</v>
      </c>
      <c r="D19" s="243">
        <v>6041</v>
      </c>
      <c r="E19" s="243"/>
      <c r="F19" s="243"/>
      <c r="G19" s="243">
        <v>6041</v>
      </c>
      <c r="H19" s="316">
        <f t="shared" si="0"/>
        <v>100</v>
      </c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659"/>
    </row>
    <row r="20" spans="1:20" s="19" customFormat="1" ht="18" customHeight="1">
      <c r="A20" s="241"/>
      <c r="B20" s="242" t="s">
        <v>1012</v>
      </c>
      <c r="C20" s="243">
        <v>0</v>
      </c>
      <c r="D20" s="243">
        <v>0</v>
      </c>
      <c r="E20" s="243"/>
      <c r="F20" s="243"/>
      <c r="G20" s="243">
        <v>27654</v>
      </c>
      <c r="H20" s="316">
        <v>0</v>
      </c>
      <c r="T20" s="659"/>
    </row>
    <row r="21" spans="1:20" s="19" customFormat="1" ht="18" customHeight="1">
      <c r="A21" s="241"/>
      <c r="B21" s="242" t="s">
        <v>880</v>
      </c>
      <c r="C21" s="243">
        <v>12000</v>
      </c>
      <c r="D21" s="243">
        <v>69396</v>
      </c>
      <c r="E21" s="243"/>
      <c r="F21" s="243"/>
      <c r="G21" s="243">
        <v>41742</v>
      </c>
      <c r="H21" s="316">
        <f t="shared" si="0"/>
        <v>60.150440947605041</v>
      </c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659"/>
    </row>
    <row r="22" spans="1:20" s="12" customFormat="1" ht="24.95" customHeight="1">
      <c r="A22" s="660" t="s">
        <v>142</v>
      </c>
      <c r="B22" s="661" t="s">
        <v>484</v>
      </c>
      <c r="C22" s="657">
        <f>SUM(C23+C30+C31)</f>
        <v>935506437</v>
      </c>
      <c r="D22" s="657">
        <f>SUM(D23+D30+D31)</f>
        <v>982920514</v>
      </c>
      <c r="E22" s="657">
        <f>SUM(E23+E30+E31)</f>
        <v>0</v>
      </c>
      <c r="F22" s="657">
        <f>SUM(F23+F30+F31)</f>
        <v>0</v>
      </c>
      <c r="G22" s="657">
        <f>SUM(G23+G30+G31)</f>
        <v>982920514</v>
      </c>
      <c r="H22" s="662">
        <f t="shared" si="0"/>
        <v>100</v>
      </c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663"/>
    </row>
    <row r="23" spans="1:20" s="479" customFormat="1" ht="18" customHeight="1">
      <c r="A23" s="121" t="s">
        <v>163</v>
      </c>
      <c r="B23" s="458" t="s">
        <v>195</v>
      </c>
      <c r="C23" s="70">
        <f>SUM(C24:C29)</f>
        <v>368611389</v>
      </c>
      <c r="D23" s="70">
        <f>SUM(D24:D29)</f>
        <v>388199158</v>
      </c>
      <c r="E23" s="70">
        <f>SUM(E24:E29)</f>
        <v>0</v>
      </c>
      <c r="F23" s="70">
        <f>SUM(F24:F29)</f>
        <v>0</v>
      </c>
      <c r="G23" s="70">
        <f>SUM(G24:G29)</f>
        <v>388199158</v>
      </c>
      <c r="H23" s="118">
        <f>G23/D23*100</f>
        <v>100</v>
      </c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664"/>
    </row>
    <row r="24" spans="1:20" s="555" customFormat="1" ht="18" customHeight="1">
      <c r="A24" s="485" t="s">
        <v>491</v>
      </c>
      <c r="B24" s="486" t="s">
        <v>490</v>
      </c>
      <c r="C24" s="442">
        <v>300294416</v>
      </c>
      <c r="D24" s="442">
        <v>301547642</v>
      </c>
      <c r="E24" s="487"/>
      <c r="F24" s="487"/>
      <c r="G24" s="442">
        <v>301547642</v>
      </c>
      <c r="H24" s="316">
        <f t="shared" ref="H24:H75" si="1">G24/D24*100</f>
        <v>100</v>
      </c>
      <c r="I24" s="554"/>
      <c r="J24" s="554"/>
      <c r="K24" s="554"/>
      <c r="L24" s="554"/>
      <c r="M24" s="554"/>
      <c r="N24" s="554"/>
      <c r="O24" s="554"/>
      <c r="P24" s="554"/>
      <c r="Q24" s="554"/>
      <c r="R24" s="554"/>
      <c r="S24" s="554"/>
      <c r="T24" s="665"/>
    </row>
    <row r="25" spans="1:20" s="555" customFormat="1" ht="18" customHeight="1">
      <c r="A25" s="485" t="s">
        <v>851</v>
      </c>
      <c r="B25" s="486" t="s">
        <v>1112</v>
      </c>
      <c r="C25" s="442">
        <v>0</v>
      </c>
      <c r="D25" s="442">
        <v>9069885</v>
      </c>
      <c r="E25" s="487"/>
      <c r="F25" s="487"/>
      <c r="G25" s="442">
        <v>9069885</v>
      </c>
      <c r="H25" s="316">
        <f t="shared" si="1"/>
        <v>100</v>
      </c>
      <c r="I25" s="554"/>
      <c r="J25" s="554"/>
      <c r="K25" s="554"/>
      <c r="L25" s="554"/>
      <c r="M25" s="554"/>
      <c r="N25" s="554"/>
      <c r="O25" s="554"/>
      <c r="P25" s="554"/>
      <c r="Q25" s="554"/>
      <c r="R25" s="554"/>
      <c r="S25" s="554"/>
      <c r="T25" s="665"/>
    </row>
    <row r="26" spans="1:20" s="555" customFormat="1" ht="18" customHeight="1">
      <c r="A26" s="485" t="s">
        <v>852</v>
      </c>
      <c r="B26" s="486" t="s">
        <v>449</v>
      </c>
      <c r="C26" s="442">
        <v>0</v>
      </c>
      <c r="D26" s="442">
        <v>590436</v>
      </c>
      <c r="E26" s="487"/>
      <c r="F26" s="487"/>
      <c r="G26" s="442">
        <v>590436</v>
      </c>
      <c r="H26" s="316">
        <f t="shared" si="1"/>
        <v>100</v>
      </c>
      <c r="I26" s="554"/>
      <c r="J26" s="554"/>
      <c r="K26" s="554"/>
      <c r="L26" s="554"/>
      <c r="M26" s="554"/>
      <c r="N26" s="554"/>
      <c r="O26" s="554"/>
      <c r="P26" s="554"/>
      <c r="Q26" s="554"/>
      <c r="R26" s="554"/>
      <c r="S26" s="554"/>
      <c r="T26" s="665"/>
    </row>
    <row r="27" spans="1:20" s="555" customFormat="1" ht="18" customHeight="1">
      <c r="A27" s="485" t="s">
        <v>903</v>
      </c>
      <c r="B27" s="486" t="s">
        <v>450</v>
      </c>
      <c r="C27" s="442">
        <v>65848973</v>
      </c>
      <c r="D27" s="442">
        <v>60921731</v>
      </c>
      <c r="E27" s="487"/>
      <c r="F27" s="487"/>
      <c r="G27" s="442">
        <v>60921731</v>
      </c>
      <c r="H27" s="316">
        <f t="shared" si="1"/>
        <v>100</v>
      </c>
      <c r="I27" s="554"/>
      <c r="J27" s="554"/>
      <c r="K27" s="554"/>
      <c r="L27" s="554"/>
      <c r="M27" s="554"/>
      <c r="N27" s="554"/>
      <c r="O27" s="554"/>
      <c r="P27" s="554"/>
      <c r="Q27" s="554"/>
      <c r="R27" s="554"/>
      <c r="S27" s="554"/>
      <c r="T27" s="665"/>
    </row>
    <row r="28" spans="1:20" s="555" customFormat="1" ht="18" customHeight="1">
      <c r="A28" s="485" t="s">
        <v>494</v>
      </c>
      <c r="B28" s="486" t="s">
        <v>912</v>
      </c>
      <c r="C28" s="442">
        <v>2468000</v>
      </c>
      <c r="D28" s="442">
        <v>2468000</v>
      </c>
      <c r="E28" s="487"/>
      <c r="F28" s="487"/>
      <c r="G28" s="442">
        <v>2468000</v>
      </c>
      <c r="H28" s="316">
        <f t="shared" si="1"/>
        <v>100</v>
      </c>
      <c r="I28" s="554"/>
      <c r="J28" s="554"/>
      <c r="K28" s="554"/>
      <c r="L28" s="554"/>
      <c r="M28" s="554"/>
      <c r="N28" s="554"/>
      <c r="O28" s="554"/>
      <c r="P28" s="554"/>
      <c r="Q28" s="554"/>
      <c r="R28" s="554"/>
      <c r="S28" s="554"/>
      <c r="T28" s="665"/>
    </row>
    <row r="29" spans="1:20" s="555" customFormat="1" ht="18" customHeight="1">
      <c r="A29" s="485" t="s">
        <v>854</v>
      </c>
      <c r="B29" s="486" t="s">
        <v>1113</v>
      </c>
      <c r="C29" s="442">
        <v>0</v>
      </c>
      <c r="D29" s="442">
        <v>13601464</v>
      </c>
      <c r="E29" s="487"/>
      <c r="F29" s="487"/>
      <c r="G29" s="442">
        <v>13601464</v>
      </c>
      <c r="H29" s="316">
        <f t="shared" si="1"/>
        <v>100</v>
      </c>
      <c r="I29" s="554"/>
      <c r="J29" s="554"/>
      <c r="K29" s="554"/>
      <c r="L29" s="554"/>
      <c r="M29" s="554"/>
      <c r="N29" s="554"/>
      <c r="O29" s="554"/>
      <c r="P29" s="554"/>
      <c r="Q29" s="554"/>
      <c r="R29" s="554"/>
      <c r="S29" s="554"/>
      <c r="T29" s="665"/>
    </row>
    <row r="30" spans="1:20" s="557" customFormat="1" ht="18" customHeight="1">
      <c r="A30" s="121" t="s">
        <v>165</v>
      </c>
      <c r="B30" s="458" t="s">
        <v>485</v>
      </c>
      <c r="C30" s="70">
        <v>368611389</v>
      </c>
      <c r="D30" s="70">
        <v>388199158</v>
      </c>
      <c r="E30" s="70"/>
      <c r="F30" s="70"/>
      <c r="G30" s="70">
        <v>388199158</v>
      </c>
      <c r="H30" s="118">
        <f t="shared" si="1"/>
        <v>100</v>
      </c>
      <c r="I30" s="556"/>
      <c r="J30" s="556"/>
      <c r="K30" s="556"/>
      <c r="L30" s="556"/>
      <c r="M30" s="556"/>
      <c r="N30" s="556"/>
      <c r="O30" s="556"/>
      <c r="P30" s="556"/>
      <c r="Q30" s="556"/>
      <c r="R30" s="556"/>
      <c r="S30" s="556"/>
      <c r="T30" s="666"/>
    </row>
    <row r="31" spans="1:20" s="557" customFormat="1" ht="18" customHeight="1">
      <c r="A31" s="121" t="s">
        <v>167</v>
      </c>
      <c r="B31" s="458" t="s">
        <v>486</v>
      </c>
      <c r="C31" s="70">
        <f>SUM(C32+C33+C36+C45+C46+C47)</f>
        <v>198283659</v>
      </c>
      <c r="D31" s="70">
        <f>SUM(D32+D33+D36+D45+D46+D47)</f>
        <v>206522198</v>
      </c>
      <c r="E31" s="70">
        <f>SUM(E32+E33+E36+E45+E46+E47)</f>
        <v>0</v>
      </c>
      <c r="F31" s="70">
        <f>SUM(F32+F33+F36+F45+F46+F47)</f>
        <v>0</v>
      </c>
      <c r="G31" s="70">
        <f>SUM(G32+G33+G36+G45+G46+G47)</f>
        <v>206522198</v>
      </c>
      <c r="H31" s="118">
        <f t="shared" si="1"/>
        <v>100</v>
      </c>
      <c r="I31" s="556"/>
      <c r="J31" s="556"/>
      <c r="K31" s="556"/>
      <c r="L31" s="556"/>
      <c r="M31" s="556"/>
      <c r="N31" s="556"/>
      <c r="O31" s="556"/>
      <c r="P31" s="556"/>
      <c r="Q31" s="556"/>
      <c r="R31" s="556"/>
      <c r="S31" s="556"/>
      <c r="T31" s="666"/>
    </row>
    <row r="32" spans="1:20" s="562" customFormat="1" ht="18" customHeight="1">
      <c r="A32" s="543" t="s">
        <v>487</v>
      </c>
      <c r="B32" s="558" t="s">
        <v>971</v>
      </c>
      <c r="C32" s="559">
        <v>8433464</v>
      </c>
      <c r="D32" s="559">
        <v>8434180</v>
      </c>
      <c r="E32" s="560"/>
      <c r="F32" s="560"/>
      <c r="G32" s="559">
        <v>8434180</v>
      </c>
      <c r="H32" s="118">
        <f t="shared" si="1"/>
        <v>100</v>
      </c>
      <c r="I32" s="561"/>
      <c r="J32" s="561"/>
      <c r="K32" s="561"/>
      <c r="L32" s="561"/>
      <c r="M32" s="561"/>
      <c r="N32" s="561"/>
      <c r="O32" s="561"/>
      <c r="P32" s="561"/>
      <c r="Q32" s="561"/>
      <c r="R32" s="561"/>
      <c r="S32" s="561"/>
      <c r="T32" s="667"/>
    </row>
    <row r="33" spans="1:20" s="562" customFormat="1" ht="18" customHeight="1">
      <c r="A33" s="543" t="s">
        <v>488</v>
      </c>
      <c r="B33" s="558" t="s">
        <v>451</v>
      </c>
      <c r="C33" s="559">
        <f>SUM(C34:C35)</f>
        <v>12634156</v>
      </c>
      <c r="D33" s="559">
        <f>SUM(D34:D35)</f>
        <v>15708484</v>
      </c>
      <c r="E33" s="559">
        <f>SUM(E34:E35)</f>
        <v>0</v>
      </c>
      <c r="F33" s="559">
        <f>SUM(F34:F35)</f>
        <v>0</v>
      </c>
      <c r="G33" s="559">
        <f>SUM(G34:G35)</f>
        <v>15708484</v>
      </c>
      <c r="H33" s="118">
        <f t="shared" si="1"/>
        <v>100</v>
      </c>
      <c r="I33" s="561"/>
      <c r="J33" s="561"/>
      <c r="K33" s="561"/>
      <c r="L33" s="561"/>
      <c r="M33" s="561"/>
      <c r="N33" s="561"/>
      <c r="O33" s="561"/>
      <c r="P33" s="561"/>
      <c r="Q33" s="561"/>
      <c r="R33" s="561"/>
      <c r="S33" s="561"/>
      <c r="T33" s="667"/>
    </row>
    <row r="34" spans="1:20" s="555" customFormat="1" ht="34.15" customHeight="1">
      <c r="A34" s="485" t="s">
        <v>972</v>
      </c>
      <c r="B34" s="314" t="s">
        <v>1179</v>
      </c>
      <c r="C34" s="442">
        <v>12066545</v>
      </c>
      <c r="D34" s="442">
        <v>12066545</v>
      </c>
      <c r="E34" s="487"/>
      <c r="F34" s="487"/>
      <c r="G34" s="442">
        <v>12066545</v>
      </c>
      <c r="H34" s="316">
        <f t="shared" si="1"/>
        <v>100</v>
      </c>
      <c r="I34" s="554"/>
      <c r="J34" s="554"/>
      <c r="K34" s="554"/>
      <c r="L34" s="554"/>
      <c r="M34" s="554"/>
      <c r="N34" s="554"/>
      <c r="O34" s="554"/>
      <c r="P34" s="554"/>
      <c r="Q34" s="554"/>
      <c r="R34" s="554"/>
      <c r="S34" s="554"/>
      <c r="T34" s="665"/>
    </row>
    <row r="35" spans="1:20" s="555" customFormat="1" ht="39" customHeight="1">
      <c r="A35" s="485" t="s">
        <v>973</v>
      </c>
      <c r="B35" s="314" t="s">
        <v>1180</v>
      </c>
      <c r="C35" s="442">
        <v>567611</v>
      </c>
      <c r="D35" s="442">
        <v>3641939</v>
      </c>
      <c r="E35" s="487"/>
      <c r="F35" s="487"/>
      <c r="G35" s="442">
        <v>3641939</v>
      </c>
      <c r="H35" s="316">
        <f t="shared" si="1"/>
        <v>100</v>
      </c>
      <c r="I35" s="554"/>
      <c r="J35" s="554"/>
      <c r="K35" s="554"/>
      <c r="L35" s="554"/>
      <c r="M35" s="554"/>
      <c r="N35" s="554"/>
      <c r="O35" s="554"/>
      <c r="P35" s="554"/>
      <c r="Q35" s="554"/>
      <c r="R35" s="554"/>
      <c r="S35" s="554"/>
      <c r="T35" s="665"/>
    </row>
    <row r="36" spans="1:20" s="562" customFormat="1" ht="18" customHeight="1">
      <c r="A36" s="543" t="s">
        <v>489</v>
      </c>
      <c r="B36" s="558" t="s">
        <v>974</v>
      </c>
      <c r="C36" s="559">
        <f>SUM(C37:C44)</f>
        <v>175691234</v>
      </c>
      <c r="D36" s="559">
        <f>SUM(D37:D44)</f>
        <v>173612552</v>
      </c>
      <c r="E36" s="559">
        <f>SUM(E37:E44)</f>
        <v>0</v>
      </c>
      <c r="F36" s="559">
        <f>SUM(F37:F44)</f>
        <v>0</v>
      </c>
      <c r="G36" s="559">
        <f>SUM(G37:G44)</f>
        <v>173612552</v>
      </c>
      <c r="H36" s="118">
        <f t="shared" si="1"/>
        <v>100</v>
      </c>
      <c r="I36" s="561"/>
      <c r="J36" s="561"/>
      <c r="K36" s="561"/>
      <c r="L36" s="561"/>
      <c r="M36" s="561"/>
      <c r="N36" s="561"/>
      <c r="O36" s="561"/>
      <c r="P36" s="561"/>
      <c r="Q36" s="561"/>
      <c r="R36" s="561"/>
      <c r="S36" s="561"/>
      <c r="T36" s="667"/>
    </row>
    <row r="37" spans="1:20" s="555" customFormat="1" ht="18" customHeight="1">
      <c r="A37" s="113" t="s">
        <v>863</v>
      </c>
      <c r="B37" s="474" t="s">
        <v>857</v>
      </c>
      <c r="C37" s="442">
        <v>20239937</v>
      </c>
      <c r="D37" s="442">
        <v>20239937</v>
      </c>
      <c r="E37" s="487"/>
      <c r="F37" s="487"/>
      <c r="G37" s="442">
        <v>20239937</v>
      </c>
      <c r="H37" s="316">
        <f t="shared" si="1"/>
        <v>100</v>
      </c>
      <c r="I37" s="554"/>
      <c r="J37" s="554"/>
      <c r="K37" s="554"/>
      <c r="L37" s="554"/>
      <c r="M37" s="554"/>
      <c r="N37" s="554"/>
      <c r="O37" s="554"/>
      <c r="P37" s="554"/>
      <c r="Q37" s="554"/>
      <c r="R37" s="554"/>
      <c r="S37" s="554"/>
      <c r="T37" s="665"/>
    </row>
    <row r="38" spans="1:20" s="555" customFormat="1" ht="18" customHeight="1">
      <c r="A38" s="113" t="s">
        <v>864</v>
      </c>
      <c r="B38" s="314" t="s">
        <v>926</v>
      </c>
      <c r="C38" s="442">
        <v>0</v>
      </c>
      <c r="D38" s="442">
        <v>2346000</v>
      </c>
      <c r="E38" s="487"/>
      <c r="F38" s="487"/>
      <c r="G38" s="442">
        <v>2346000</v>
      </c>
      <c r="H38" s="316">
        <f t="shared" si="1"/>
        <v>100</v>
      </c>
      <c r="I38" s="554"/>
      <c r="J38" s="554"/>
      <c r="K38" s="554"/>
      <c r="L38" s="554"/>
      <c r="M38" s="554"/>
      <c r="N38" s="554"/>
      <c r="O38" s="554"/>
      <c r="P38" s="554"/>
      <c r="Q38" s="554"/>
      <c r="R38" s="554"/>
      <c r="S38" s="554"/>
      <c r="T38" s="665"/>
    </row>
    <row r="39" spans="1:20" s="555" customFormat="1" ht="18" customHeight="1">
      <c r="A39" s="113" t="s">
        <v>865</v>
      </c>
      <c r="B39" s="474" t="s">
        <v>858</v>
      </c>
      <c r="C39" s="442">
        <v>6740507</v>
      </c>
      <c r="D39" s="442">
        <v>6740507</v>
      </c>
      <c r="E39" s="487"/>
      <c r="F39" s="487"/>
      <c r="G39" s="442">
        <v>6740507</v>
      </c>
      <c r="H39" s="316">
        <f t="shared" si="1"/>
        <v>100</v>
      </c>
      <c r="I39" s="554"/>
      <c r="J39" s="554"/>
      <c r="K39" s="554"/>
      <c r="L39" s="554"/>
      <c r="M39" s="554"/>
      <c r="N39" s="554"/>
      <c r="O39" s="554"/>
      <c r="P39" s="554"/>
      <c r="Q39" s="554"/>
      <c r="R39" s="554"/>
      <c r="S39" s="554"/>
      <c r="T39" s="665"/>
    </row>
    <row r="40" spans="1:20" s="555" customFormat="1" ht="18" customHeight="1">
      <c r="A40" s="113" t="s">
        <v>975</v>
      </c>
      <c r="B40" s="474" t="s">
        <v>859</v>
      </c>
      <c r="C40" s="442">
        <v>34562543</v>
      </c>
      <c r="D40" s="442">
        <v>34562543</v>
      </c>
      <c r="E40" s="487"/>
      <c r="F40" s="487"/>
      <c r="G40" s="442">
        <v>34562543</v>
      </c>
      <c r="H40" s="316">
        <f t="shared" si="1"/>
        <v>100</v>
      </c>
      <c r="I40" s="554"/>
      <c r="J40" s="554"/>
      <c r="K40" s="554"/>
      <c r="L40" s="554"/>
      <c r="M40" s="554"/>
      <c r="N40" s="554"/>
      <c r="O40" s="554"/>
      <c r="P40" s="554"/>
      <c r="Q40" s="554"/>
      <c r="R40" s="554"/>
      <c r="S40" s="554"/>
      <c r="T40" s="665"/>
    </row>
    <row r="41" spans="1:20" s="555" customFormat="1" ht="25.5" customHeight="1">
      <c r="A41" s="113" t="s">
        <v>976</v>
      </c>
      <c r="B41" s="474" t="s">
        <v>860</v>
      </c>
      <c r="C41" s="442">
        <v>35870019</v>
      </c>
      <c r="D41" s="442">
        <v>33095471</v>
      </c>
      <c r="E41" s="487"/>
      <c r="F41" s="487"/>
      <c r="G41" s="442">
        <v>33095471</v>
      </c>
      <c r="H41" s="316">
        <f t="shared" si="1"/>
        <v>100</v>
      </c>
      <c r="I41" s="554"/>
      <c r="J41" s="554"/>
      <c r="K41" s="554"/>
      <c r="L41" s="554"/>
      <c r="M41" s="554"/>
      <c r="N41" s="554"/>
      <c r="O41" s="554"/>
      <c r="P41" s="554"/>
      <c r="Q41" s="554"/>
      <c r="R41" s="554"/>
      <c r="S41" s="554"/>
      <c r="T41" s="665"/>
    </row>
    <row r="42" spans="1:20" s="555" customFormat="1" ht="29.25" customHeight="1">
      <c r="A42" s="113" t="s">
        <v>977</v>
      </c>
      <c r="B42" s="474" t="s">
        <v>861</v>
      </c>
      <c r="C42" s="442">
        <v>64627335</v>
      </c>
      <c r="D42" s="442">
        <v>63009091</v>
      </c>
      <c r="E42" s="487"/>
      <c r="F42" s="487"/>
      <c r="G42" s="442">
        <v>63009091</v>
      </c>
      <c r="H42" s="316">
        <f t="shared" si="1"/>
        <v>100</v>
      </c>
      <c r="I42" s="554"/>
      <c r="J42" s="554"/>
      <c r="K42" s="554"/>
      <c r="L42" s="554"/>
      <c r="M42" s="554"/>
      <c r="N42" s="554"/>
      <c r="O42" s="554"/>
      <c r="P42" s="554"/>
      <c r="Q42" s="554"/>
      <c r="R42" s="554"/>
      <c r="S42" s="554"/>
      <c r="T42" s="665"/>
    </row>
    <row r="43" spans="1:20" s="555" customFormat="1" ht="39.75" customHeight="1">
      <c r="A43" s="113" t="s">
        <v>1141</v>
      </c>
      <c r="B43" s="314" t="s">
        <v>1180</v>
      </c>
      <c r="C43" s="442">
        <v>0</v>
      </c>
      <c r="D43" s="442">
        <v>64929</v>
      </c>
      <c r="E43" s="487"/>
      <c r="F43" s="487"/>
      <c r="G43" s="442">
        <v>64929</v>
      </c>
      <c r="H43" s="316">
        <f t="shared" si="1"/>
        <v>100</v>
      </c>
      <c r="I43" s="554"/>
      <c r="J43" s="554"/>
      <c r="K43" s="554"/>
      <c r="L43" s="554"/>
      <c r="M43" s="554"/>
      <c r="N43" s="554"/>
      <c r="O43" s="554"/>
      <c r="P43" s="554"/>
      <c r="Q43" s="554"/>
      <c r="R43" s="554"/>
      <c r="S43" s="554"/>
      <c r="T43" s="665"/>
    </row>
    <row r="44" spans="1:20" s="555" customFormat="1" ht="18" customHeight="1">
      <c r="A44" s="113" t="s">
        <v>1115</v>
      </c>
      <c r="B44" s="474" t="s">
        <v>862</v>
      </c>
      <c r="C44" s="442">
        <v>13650893</v>
      </c>
      <c r="D44" s="442">
        <v>13554074</v>
      </c>
      <c r="E44" s="487"/>
      <c r="F44" s="487"/>
      <c r="G44" s="442">
        <v>13554074</v>
      </c>
      <c r="H44" s="316">
        <f t="shared" si="1"/>
        <v>100</v>
      </c>
      <c r="I44" s="554"/>
      <c r="J44" s="554"/>
      <c r="K44" s="554"/>
      <c r="L44" s="554"/>
      <c r="M44" s="554"/>
      <c r="N44" s="554"/>
      <c r="O44" s="554"/>
      <c r="P44" s="554"/>
      <c r="Q44" s="554"/>
      <c r="R44" s="554"/>
      <c r="S44" s="554"/>
      <c r="T44" s="665"/>
    </row>
    <row r="45" spans="1:20" s="479" customFormat="1" ht="27.6" customHeight="1">
      <c r="A45" s="121" t="s">
        <v>876</v>
      </c>
      <c r="B45" s="458" t="s">
        <v>449</v>
      </c>
      <c r="C45" s="276">
        <v>1180872</v>
      </c>
      <c r="D45" s="276">
        <v>0</v>
      </c>
      <c r="E45" s="276"/>
      <c r="F45" s="276"/>
      <c r="G45" s="276">
        <v>0</v>
      </c>
      <c r="H45" s="118">
        <v>0</v>
      </c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664"/>
    </row>
    <row r="46" spans="1:20" s="479" customFormat="1" ht="27.6" customHeight="1">
      <c r="A46" s="121" t="s">
        <v>1116</v>
      </c>
      <c r="B46" s="458" t="s">
        <v>1117</v>
      </c>
      <c r="C46" s="276">
        <v>343933</v>
      </c>
      <c r="D46" s="276">
        <v>343933</v>
      </c>
      <c r="E46" s="276"/>
      <c r="F46" s="276"/>
      <c r="G46" s="276">
        <v>343933</v>
      </c>
      <c r="H46" s="118">
        <f t="shared" si="1"/>
        <v>100</v>
      </c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664"/>
    </row>
    <row r="47" spans="1:20" s="19" customFormat="1" ht="18" customHeight="1">
      <c r="A47" s="121" t="s">
        <v>1118</v>
      </c>
      <c r="B47" s="121" t="s">
        <v>1119</v>
      </c>
      <c r="C47" s="276">
        <v>0</v>
      </c>
      <c r="D47" s="276">
        <v>8423049</v>
      </c>
      <c r="E47" s="276"/>
      <c r="F47" s="118"/>
      <c r="G47" s="276">
        <v>8423049</v>
      </c>
      <c r="H47" s="118">
        <f t="shared" si="1"/>
        <v>100</v>
      </c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659"/>
    </row>
    <row r="48" spans="1:20" s="12" customFormat="1" ht="29.25" customHeight="1">
      <c r="A48" s="660" t="s">
        <v>143</v>
      </c>
      <c r="B48" s="656" t="s">
        <v>496</v>
      </c>
      <c r="C48" s="657">
        <f>SUM(C49,C50,C55,C57)</f>
        <v>892917</v>
      </c>
      <c r="D48" s="657">
        <f>SUM(D49,D50,D55,D57)</f>
        <v>1377137</v>
      </c>
      <c r="E48" s="657">
        <f>SUM(E49,E50,E55,E57)</f>
        <v>0</v>
      </c>
      <c r="F48" s="657">
        <f>SUM(F49,F50,F55,F57)</f>
        <v>0</v>
      </c>
      <c r="G48" s="657">
        <f>SUM(G49,G50,G55,G57)</f>
        <v>1377137</v>
      </c>
      <c r="H48" s="668">
        <f t="shared" si="1"/>
        <v>100</v>
      </c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663"/>
    </row>
    <row r="49" spans="1:20" s="557" customFormat="1" ht="15" customHeight="1">
      <c r="A49" s="121" t="s">
        <v>145</v>
      </c>
      <c r="B49" s="458" t="s">
        <v>451</v>
      </c>
      <c r="C49" s="70">
        <v>0</v>
      </c>
      <c r="D49" s="70">
        <v>0</v>
      </c>
      <c r="E49" s="70"/>
      <c r="F49" s="70"/>
      <c r="G49" s="70">
        <v>0</v>
      </c>
      <c r="H49" s="119">
        <v>0</v>
      </c>
      <c r="I49" s="556"/>
      <c r="J49" s="556"/>
      <c r="K49" s="556"/>
      <c r="L49" s="556"/>
      <c r="M49" s="556"/>
      <c r="N49" s="556"/>
      <c r="O49" s="556"/>
      <c r="P49" s="556"/>
      <c r="Q49" s="556"/>
      <c r="R49" s="556"/>
      <c r="S49" s="556"/>
      <c r="T49" s="666"/>
    </row>
    <row r="50" spans="1:20" s="557" customFormat="1" ht="15" customHeight="1">
      <c r="A50" s="121" t="s">
        <v>146</v>
      </c>
      <c r="B50" s="458" t="s">
        <v>967</v>
      </c>
      <c r="C50" s="70">
        <f>SUM(C51:C54)</f>
        <v>892917</v>
      </c>
      <c r="D50" s="70">
        <f t="shared" ref="D50:G50" si="2">SUM(D51:D54)</f>
        <v>892917</v>
      </c>
      <c r="E50" s="70">
        <f t="shared" si="2"/>
        <v>0</v>
      </c>
      <c r="F50" s="70">
        <f t="shared" si="2"/>
        <v>0</v>
      </c>
      <c r="G50" s="70">
        <f t="shared" si="2"/>
        <v>892917</v>
      </c>
      <c r="H50" s="119">
        <f>G50/D50*100</f>
        <v>100</v>
      </c>
      <c r="I50" s="556"/>
      <c r="J50" s="556"/>
      <c r="K50" s="556"/>
      <c r="L50" s="556"/>
      <c r="M50" s="556"/>
      <c r="N50" s="556"/>
      <c r="O50" s="556"/>
      <c r="P50" s="556"/>
      <c r="Q50" s="556"/>
      <c r="R50" s="556"/>
      <c r="S50" s="556"/>
      <c r="T50" s="666"/>
    </row>
    <row r="51" spans="1:20" s="10" customFormat="1" ht="15" customHeight="1">
      <c r="A51" s="113" t="s">
        <v>1160</v>
      </c>
      <c r="B51" s="314" t="s">
        <v>984</v>
      </c>
      <c r="C51" s="18">
        <v>92917</v>
      </c>
      <c r="D51" s="18">
        <v>92917</v>
      </c>
      <c r="E51" s="18"/>
      <c r="F51" s="18"/>
      <c r="G51" s="18">
        <v>92917</v>
      </c>
      <c r="H51" s="119">
        <f t="shared" ref="H51:H54" si="3">G51/D51*100</f>
        <v>100</v>
      </c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127"/>
    </row>
    <row r="52" spans="1:20" s="10" customFormat="1" ht="25.5">
      <c r="A52" s="113" t="s">
        <v>983</v>
      </c>
      <c r="B52" s="314" t="s">
        <v>985</v>
      </c>
      <c r="C52" s="18">
        <v>450000</v>
      </c>
      <c r="D52" s="18">
        <v>450000</v>
      </c>
      <c r="E52" s="18"/>
      <c r="F52" s="18"/>
      <c r="G52" s="18">
        <v>450000</v>
      </c>
      <c r="H52" s="119">
        <f t="shared" si="3"/>
        <v>100</v>
      </c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127"/>
    </row>
    <row r="53" spans="1:20" s="10" customFormat="1" ht="25.5">
      <c r="A53" s="113" t="s">
        <v>1120</v>
      </c>
      <c r="B53" s="314" t="s">
        <v>986</v>
      </c>
      <c r="C53" s="18">
        <v>250000</v>
      </c>
      <c r="D53" s="18">
        <v>250000</v>
      </c>
      <c r="E53" s="18"/>
      <c r="F53" s="18"/>
      <c r="G53" s="18">
        <v>250000</v>
      </c>
      <c r="H53" s="119">
        <f t="shared" si="3"/>
        <v>100</v>
      </c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127"/>
    </row>
    <row r="54" spans="1:20" s="10" customFormat="1" ht="23.25" customHeight="1">
      <c r="A54" s="113" t="s">
        <v>1121</v>
      </c>
      <c r="B54" s="314" t="s">
        <v>987</v>
      </c>
      <c r="C54" s="18">
        <v>100000</v>
      </c>
      <c r="D54" s="18">
        <v>100000</v>
      </c>
      <c r="E54" s="18"/>
      <c r="F54" s="18"/>
      <c r="G54" s="18">
        <v>100000</v>
      </c>
      <c r="H54" s="119">
        <f t="shared" si="3"/>
        <v>100</v>
      </c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127"/>
    </row>
    <row r="55" spans="1:20" s="479" customFormat="1" ht="21.75" customHeight="1">
      <c r="A55" s="121" t="s">
        <v>1016</v>
      </c>
      <c r="B55" s="458" t="s">
        <v>1122</v>
      </c>
      <c r="C55" s="70">
        <f>SUM(C56:C56)</f>
        <v>0</v>
      </c>
      <c r="D55" s="70">
        <f>SUM(D56:D56)</f>
        <v>242110</v>
      </c>
      <c r="E55" s="70">
        <f>SUM(E56:E56)</f>
        <v>0</v>
      </c>
      <c r="F55" s="70">
        <f>SUM(F56:F56)</f>
        <v>0</v>
      </c>
      <c r="G55" s="70">
        <f>SUM(G56:G56)</f>
        <v>242110</v>
      </c>
      <c r="H55" s="119">
        <f t="shared" si="1"/>
        <v>100</v>
      </c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664"/>
    </row>
    <row r="56" spans="1:20" s="479" customFormat="1" ht="31.5" customHeight="1">
      <c r="A56" s="113" t="s">
        <v>1123</v>
      </c>
      <c r="B56" s="314" t="s">
        <v>1124</v>
      </c>
      <c r="C56" s="18">
        <v>0</v>
      </c>
      <c r="D56" s="18">
        <v>242110</v>
      </c>
      <c r="E56" s="18"/>
      <c r="F56" s="18"/>
      <c r="G56" s="18">
        <v>242110</v>
      </c>
      <c r="H56" s="119">
        <f t="shared" si="1"/>
        <v>100</v>
      </c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664"/>
    </row>
    <row r="57" spans="1:20" s="12" customFormat="1" ht="24.95" customHeight="1">
      <c r="A57" s="121" t="s">
        <v>1027</v>
      </c>
      <c r="B57" s="631" t="s">
        <v>1013</v>
      </c>
      <c r="C57" s="11">
        <v>0</v>
      </c>
      <c r="D57" s="11">
        <v>242110</v>
      </c>
      <c r="E57" s="11">
        <f>SUM(E59,E69)</f>
        <v>0</v>
      </c>
      <c r="F57" s="11">
        <f>SUM(F59,F69)</f>
        <v>0</v>
      </c>
      <c r="G57" s="11">
        <v>242110</v>
      </c>
      <c r="H57" s="119">
        <f t="shared" si="1"/>
        <v>100</v>
      </c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663"/>
    </row>
    <row r="58" spans="1:20" s="12" customFormat="1" ht="24.95" customHeight="1">
      <c r="A58" s="669" t="s">
        <v>1161</v>
      </c>
      <c r="B58" s="656" t="s">
        <v>911</v>
      </c>
      <c r="C58" s="657">
        <f>SUM(C59,C69)</f>
        <v>88915099</v>
      </c>
      <c r="D58" s="657">
        <f t="shared" ref="D58:G58" si="4">SUM(D59,D69)</f>
        <v>88915099</v>
      </c>
      <c r="E58" s="657">
        <f t="shared" si="4"/>
        <v>0</v>
      </c>
      <c r="F58" s="657">
        <f t="shared" si="4"/>
        <v>0</v>
      </c>
      <c r="G58" s="657">
        <f t="shared" si="4"/>
        <v>88915099</v>
      </c>
      <c r="H58" s="668">
        <f t="shared" si="1"/>
        <v>100</v>
      </c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663"/>
    </row>
    <row r="59" spans="1:20" s="479" customFormat="1" ht="24.95" customHeight="1">
      <c r="A59" s="121" t="s">
        <v>184</v>
      </c>
      <c r="B59" s="86" t="s">
        <v>922</v>
      </c>
      <c r="C59" s="70">
        <f>SUM(C64,C66,C67,C60,C68)</f>
        <v>86041253</v>
      </c>
      <c r="D59" s="70">
        <f t="shared" ref="D59:G59" si="5">SUM(D64,D66,D67,D60,D68)</f>
        <v>86042662</v>
      </c>
      <c r="E59" s="70">
        <f t="shared" si="5"/>
        <v>0</v>
      </c>
      <c r="F59" s="70">
        <f t="shared" si="5"/>
        <v>0</v>
      </c>
      <c r="G59" s="70">
        <f t="shared" si="5"/>
        <v>86042662</v>
      </c>
      <c r="H59" s="118">
        <f t="shared" si="1"/>
        <v>100</v>
      </c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664"/>
    </row>
    <row r="60" spans="1:20" s="10" customFormat="1" ht="24.95" customHeight="1">
      <c r="A60" s="113" t="s">
        <v>1019</v>
      </c>
      <c r="B60" s="636" t="s">
        <v>988</v>
      </c>
      <c r="C60" s="315">
        <v>26897792</v>
      </c>
      <c r="D60" s="315">
        <v>26897792</v>
      </c>
      <c r="E60" s="18"/>
      <c r="F60" s="18"/>
      <c r="G60" s="315">
        <v>26897792</v>
      </c>
      <c r="H60" s="316">
        <f t="shared" si="1"/>
        <v>100</v>
      </c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127"/>
    </row>
    <row r="61" spans="1:20" s="10" customFormat="1" ht="24.95" customHeight="1">
      <c r="A61" s="114"/>
      <c r="B61" s="406" t="s">
        <v>1181</v>
      </c>
      <c r="C61" s="105">
        <v>15754704</v>
      </c>
      <c r="D61" s="105">
        <v>15754704</v>
      </c>
      <c r="E61" s="18"/>
      <c r="F61" s="18"/>
      <c r="G61" s="105">
        <v>15754704</v>
      </c>
      <c r="H61" s="316">
        <f t="shared" si="1"/>
        <v>100</v>
      </c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127"/>
    </row>
    <row r="62" spans="1:20" s="10" customFormat="1" ht="24.95" customHeight="1">
      <c r="A62" s="114"/>
      <c r="B62" s="406" t="s">
        <v>1186</v>
      </c>
      <c r="C62" s="105">
        <v>405251</v>
      </c>
      <c r="D62" s="105">
        <v>405251</v>
      </c>
      <c r="E62" s="18"/>
      <c r="F62" s="18"/>
      <c r="G62" s="105">
        <v>405251</v>
      </c>
      <c r="H62" s="316">
        <f t="shared" si="1"/>
        <v>100</v>
      </c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127"/>
    </row>
    <row r="63" spans="1:20" s="10" customFormat="1" ht="24.95" customHeight="1">
      <c r="A63" s="114"/>
      <c r="B63" s="406" t="s">
        <v>989</v>
      </c>
      <c r="C63" s="105">
        <v>93988</v>
      </c>
      <c r="D63" s="105">
        <v>93998</v>
      </c>
      <c r="E63" s="18"/>
      <c r="F63" s="18"/>
      <c r="G63" s="105">
        <v>93998</v>
      </c>
      <c r="H63" s="316">
        <f t="shared" si="1"/>
        <v>100</v>
      </c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127"/>
    </row>
    <row r="64" spans="1:20" s="10" customFormat="1" ht="24.95" customHeight="1">
      <c r="A64" s="113" t="s">
        <v>1020</v>
      </c>
      <c r="B64" s="314" t="s">
        <v>955</v>
      </c>
      <c r="C64" s="315">
        <v>22889754</v>
      </c>
      <c r="D64" s="315">
        <v>22889754</v>
      </c>
      <c r="E64" s="18"/>
      <c r="F64" s="18"/>
      <c r="G64" s="315">
        <v>22889754</v>
      </c>
      <c r="H64" s="316">
        <f t="shared" si="1"/>
        <v>100</v>
      </c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127"/>
    </row>
    <row r="65" spans="1:20" s="10" customFormat="1" ht="27.6" customHeight="1">
      <c r="A65" s="114"/>
      <c r="B65" s="406" t="s">
        <v>1181</v>
      </c>
      <c r="C65" s="105">
        <v>1467293</v>
      </c>
      <c r="D65" s="105">
        <v>1468702</v>
      </c>
      <c r="E65" s="18"/>
      <c r="F65" s="18"/>
      <c r="G65" s="105">
        <v>1468702</v>
      </c>
      <c r="H65" s="316">
        <f t="shared" si="1"/>
        <v>100</v>
      </c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127"/>
    </row>
    <row r="66" spans="1:20" s="10" customFormat="1" ht="24.95" customHeight="1">
      <c r="A66" s="113" t="s">
        <v>1021</v>
      </c>
      <c r="B66" s="314" t="s">
        <v>990</v>
      </c>
      <c r="C66" s="315">
        <v>28978829</v>
      </c>
      <c r="D66" s="315">
        <v>28978829</v>
      </c>
      <c r="E66" s="18"/>
      <c r="F66" s="18"/>
      <c r="G66" s="315">
        <v>28978829</v>
      </c>
      <c r="H66" s="316">
        <f t="shared" si="1"/>
        <v>100</v>
      </c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127"/>
    </row>
    <row r="67" spans="1:20" s="10" customFormat="1" ht="24.95" customHeight="1">
      <c r="A67" s="113" t="s">
        <v>1022</v>
      </c>
      <c r="B67" s="314" t="s">
        <v>901</v>
      </c>
      <c r="C67" s="315">
        <v>7274878</v>
      </c>
      <c r="D67" s="315">
        <v>7274878</v>
      </c>
      <c r="E67" s="18"/>
      <c r="F67" s="18"/>
      <c r="G67" s="315">
        <v>7274878</v>
      </c>
      <c r="H67" s="316">
        <f t="shared" si="1"/>
        <v>100</v>
      </c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127"/>
    </row>
    <row r="68" spans="1:20" s="10" customFormat="1" ht="27.75" customHeight="1">
      <c r="A68" s="113" t="s">
        <v>1125</v>
      </c>
      <c r="B68" s="314" t="s">
        <v>1126</v>
      </c>
      <c r="C68" s="315">
        <v>0</v>
      </c>
      <c r="D68" s="315">
        <v>1409</v>
      </c>
      <c r="E68" s="18"/>
      <c r="F68" s="18"/>
      <c r="G68" s="315">
        <v>1409</v>
      </c>
      <c r="H68" s="316">
        <f t="shared" si="1"/>
        <v>100</v>
      </c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127"/>
    </row>
    <row r="69" spans="1:20" s="479" customFormat="1" ht="18" customHeight="1">
      <c r="A69" s="121" t="s">
        <v>1010</v>
      </c>
      <c r="B69" s="86" t="s">
        <v>923</v>
      </c>
      <c r="C69" s="70">
        <f>SUM(C70:C74)</f>
        <v>2873846</v>
      </c>
      <c r="D69" s="70">
        <f t="shared" ref="D69:G69" si="6">SUM(D70:D74)</f>
        <v>2872437</v>
      </c>
      <c r="E69" s="70">
        <f t="shared" si="6"/>
        <v>0</v>
      </c>
      <c r="F69" s="70">
        <f t="shared" si="6"/>
        <v>0</v>
      </c>
      <c r="G69" s="70">
        <f t="shared" si="6"/>
        <v>2872437</v>
      </c>
      <c r="H69" s="118">
        <f t="shared" si="1"/>
        <v>100</v>
      </c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664"/>
    </row>
    <row r="70" spans="1:20" s="10" customFormat="1" ht="39.6" customHeight="1">
      <c r="A70" s="113" t="s">
        <v>1023</v>
      </c>
      <c r="B70" s="314" t="s">
        <v>1182</v>
      </c>
      <c r="C70" s="315">
        <v>2051767</v>
      </c>
      <c r="D70" s="315">
        <v>2051767</v>
      </c>
      <c r="E70" s="18"/>
      <c r="F70" s="18"/>
      <c r="G70" s="315">
        <v>2051767</v>
      </c>
      <c r="H70" s="316">
        <f t="shared" si="1"/>
        <v>100</v>
      </c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127"/>
    </row>
    <row r="71" spans="1:20" s="10" customFormat="1" ht="39.6" customHeight="1">
      <c r="A71" s="113" t="s">
        <v>1162</v>
      </c>
      <c r="B71" s="314" t="s">
        <v>988</v>
      </c>
      <c r="C71" s="315">
        <v>807083</v>
      </c>
      <c r="D71" s="315">
        <v>807083</v>
      </c>
      <c r="E71" s="18"/>
      <c r="F71" s="18"/>
      <c r="G71" s="315">
        <v>807083</v>
      </c>
      <c r="H71" s="316">
        <f t="shared" si="1"/>
        <v>100</v>
      </c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127"/>
    </row>
    <row r="72" spans="1:20" s="10" customFormat="1" ht="27.75" customHeight="1">
      <c r="A72" s="113" t="s">
        <v>1025</v>
      </c>
      <c r="B72" s="314" t="s">
        <v>901</v>
      </c>
      <c r="C72" s="315">
        <v>10246</v>
      </c>
      <c r="D72" s="315">
        <v>10246</v>
      </c>
      <c r="E72" s="18"/>
      <c r="F72" s="18"/>
      <c r="G72" s="315">
        <v>10246</v>
      </c>
      <c r="H72" s="316">
        <f t="shared" si="1"/>
        <v>100</v>
      </c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127"/>
    </row>
    <row r="73" spans="1:20" s="10" customFormat="1" ht="39.6" customHeight="1">
      <c r="A73" s="113" t="s">
        <v>1026</v>
      </c>
      <c r="B73" s="314" t="s">
        <v>1180</v>
      </c>
      <c r="C73" s="315">
        <v>4750</v>
      </c>
      <c r="D73" s="315">
        <v>4750</v>
      </c>
      <c r="E73" s="18"/>
      <c r="F73" s="18"/>
      <c r="G73" s="315">
        <v>4750</v>
      </c>
      <c r="H73" s="316">
        <f t="shared" si="1"/>
        <v>100</v>
      </c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127"/>
    </row>
    <row r="74" spans="1:20" s="10" customFormat="1" ht="39.6" customHeight="1">
      <c r="A74" s="113" t="s">
        <v>1144</v>
      </c>
      <c r="B74" s="314" t="s">
        <v>1126</v>
      </c>
      <c r="C74" s="315">
        <v>0</v>
      </c>
      <c r="D74" s="315">
        <v>-1409</v>
      </c>
      <c r="E74" s="18"/>
      <c r="F74" s="18"/>
      <c r="G74" s="315">
        <v>-1409</v>
      </c>
      <c r="H74" s="316">
        <f t="shared" si="1"/>
        <v>100</v>
      </c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127"/>
    </row>
    <row r="75" spans="1:20" s="187" customFormat="1" ht="18" customHeight="1">
      <c r="A75" s="740" t="s">
        <v>183</v>
      </c>
      <c r="B75" s="741"/>
      <c r="C75" s="172">
        <f>SUM(C10,C22,C48,C58)</f>
        <v>1058689177</v>
      </c>
      <c r="D75" s="172">
        <f>SUM(D10,D22,D48,D58)</f>
        <v>1107759095</v>
      </c>
      <c r="E75" s="172">
        <f>SUM(E10,E22,E48,E58)</f>
        <v>0</v>
      </c>
      <c r="F75" s="172">
        <f>SUM(F10,F22,F48,F58)</f>
        <v>0</v>
      </c>
      <c r="G75" s="172">
        <f>SUM(G10,G22,G48,G58)</f>
        <v>1107759095</v>
      </c>
      <c r="H75" s="185">
        <f t="shared" si="1"/>
        <v>100</v>
      </c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670"/>
    </row>
    <row r="76" spans="1:20" s="46" customFormat="1" ht="18" customHeight="1">
      <c r="A76" s="121" t="s">
        <v>148</v>
      </c>
      <c r="B76" s="631" t="s">
        <v>119</v>
      </c>
      <c r="C76" s="11"/>
      <c r="D76" s="11"/>
      <c r="E76" s="11"/>
      <c r="F76" s="11"/>
      <c r="G76" s="18">
        <v>373557</v>
      </c>
      <c r="H76" s="120"/>
      <c r="T76" s="354"/>
    </row>
    <row r="77" spans="1:20" s="46" customFormat="1" ht="18" customHeight="1">
      <c r="A77" s="740" t="s">
        <v>74</v>
      </c>
      <c r="B77" s="741"/>
      <c r="C77" s="172">
        <f>SUM(C75:C76)</f>
        <v>1058689177</v>
      </c>
      <c r="D77" s="172">
        <f>SUM(D75:D76)</f>
        <v>1107759095</v>
      </c>
      <c r="E77" s="172">
        <f>SUM(E75:E76)</f>
        <v>0</v>
      </c>
      <c r="F77" s="172">
        <f>SUM(F75:F76)</f>
        <v>0</v>
      </c>
      <c r="G77" s="172">
        <f>SUM(G75:G76)</f>
        <v>1108132652</v>
      </c>
      <c r="H77" s="185">
        <f>G77/D77*100</f>
        <v>100.03372186260407</v>
      </c>
      <c r="T77" s="354"/>
    </row>
    <row r="78" spans="1:20" s="46" customFormat="1">
      <c r="T78" s="354"/>
    </row>
    <row r="79" spans="1:20" s="46" customFormat="1">
      <c r="T79" s="354"/>
    </row>
    <row r="80" spans="1:20" s="46" customFormat="1">
      <c r="T80" s="354"/>
    </row>
    <row r="81" spans="20:20" s="46" customFormat="1">
      <c r="T81" s="354"/>
    </row>
    <row r="82" spans="20:20" s="46" customFormat="1">
      <c r="T82" s="354"/>
    </row>
    <row r="83" spans="20:20" s="46" customFormat="1">
      <c r="T83" s="354"/>
    </row>
    <row r="84" spans="20:20" s="46" customFormat="1">
      <c r="T84" s="354"/>
    </row>
    <row r="85" spans="20:20" s="46" customFormat="1">
      <c r="T85" s="354"/>
    </row>
    <row r="86" spans="20:20" s="46" customFormat="1">
      <c r="T86" s="354"/>
    </row>
    <row r="87" spans="20:20" s="46" customFormat="1">
      <c r="T87" s="354"/>
    </row>
    <row r="88" spans="20:20" s="46" customFormat="1">
      <c r="T88" s="354"/>
    </row>
    <row r="89" spans="20:20" s="46" customFormat="1">
      <c r="T89" s="354"/>
    </row>
    <row r="90" spans="20:20" s="46" customFormat="1">
      <c r="T90" s="354"/>
    </row>
    <row r="91" spans="20:20" s="46" customFormat="1">
      <c r="T91" s="354"/>
    </row>
    <row r="92" spans="20:20" s="46" customFormat="1">
      <c r="T92" s="354"/>
    </row>
    <row r="93" spans="20:20" s="46" customFormat="1">
      <c r="T93" s="354"/>
    </row>
    <row r="94" spans="20:20" s="46" customFormat="1">
      <c r="T94" s="354"/>
    </row>
    <row r="95" spans="20:20" s="46" customFormat="1">
      <c r="T95" s="354"/>
    </row>
    <row r="96" spans="20:20" s="46" customFormat="1">
      <c r="T96" s="354"/>
    </row>
  </sheetData>
  <mergeCells count="12">
    <mergeCell ref="A75:B75"/>
    <mergeCell ref="A77:B77"/>
    <mergeCell ref="A5:H5"/>
    <mergeCell ref="A8:H8"/>
    <mergeCell ref="E6:F6"/>
    <mergeCell ref="A9:H9"/>
    <mergeCell ref="A1:H1"/>
    <mergeCell ref="A2:H2"/>
    <mergeCell ref="A6:A7"/>
    <mergeCell ref="B6:B7"/>
    <mergeCell ref="G6:H6"/>
    <mergeCell ref="C7:D7"/>
  </mergeCells>
  <phoneticPr fontId="0" type="noConversion"/>
  <pageMargins left="0.78740157480314965" right="0.78740157480314965" top="1.1023622047244095" bottom="0.98425196850393704" header="0.51181102362204722" footer="0.51181102362204722"/>
  <pageSetup paperSize="9" scale="41" orientation="portrait" r:id="rId1"/>
  <headerFooter alignWithMargins="0">
    <oddHeader>&amp;R3/a számú melléklet</oddHeader>
  </headerFooter>
  <rowBreaks count="1" manualBreakCount="1">
    <brk id="77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tabColor theme="4" tint="0.39997558519241921"/>
  </sheetPr>
  <dimension ref="A1:AA507"/>
  <sheetViews>
    <sheetView tabSelected="1" zoomScaleNormal="100" workbookViewId="0">
      <pane ySplit="1" topLeftCell="A18" activePane="bottomLeft" state="frozen"/>
      <selection activeCell="A26" sqref="A26:B26"/>
      <selection pane="bottomLeft" activeCell="C409" sqref="C409"/>
    </sheetView>
  </sheetViews>
  <sheetFormatPr defaultColWidth="9.140625" defaultRowHeight="12.75"/>
  <cols>
    <col min="1" max="1" width="9.140625" style="673"/>
    <col min="2" max="2" width="9.28515625" style="699" bestFit="1" customWidth="1"/>
    <col min="3" max="3" width="48" style="673" customWidth="1"/>
    <col min="4" max="4" width="18.42578125" style="673" bestFit="1" customWidth="1"/>
    <col min="5" max="5" width="17.7109375" style="673" customWidth="1"/>
    <col min="6" max="6" width="18.85546875" style="673" customWidth="1"/>
    <col min="7" max="7" width="21.140625" style="673" customWidth="1"/>
    <col min="8" max="8" width="8" style="673" customWidth="1"/>
    <col min="9" max="9" width="7.5703125" style="673" customWidth="1"/>
    <col min="10" max="10" width="11.85546875" style="671" customWidth="1"/>
    <col min="11" max="11" width="15.42578125" style="671" customWidth="1"/>
    <col min="12" max="12" width="12.28515625" style="671" customWidth="1"/>
    <col min="13" max="13" width="11.85546875" style="671" customWidth="1"/>
    <col min="14" max="14" width="19.5703125" style="671" customWidth="1"/>
    <col min="15" max="15" width="13.28515625" style="671" customWidth="1"/>
    <col min="16" max="27" width="9.140625" style="672"/>
    <col min="28" max="16384" width="9.140625" style="673"/>
  </cols>
  <sheetData>
    <row r="1" spans="1:27">
      <c r="A1" s="774" t="s">
        <v>1163</v>
      </c>
      <c r="B1" s="774"/>
      <c r="C1" s="774"/>
      <c r="D1" s="774"/>
      <c r="E1" s="774"/>
      <c r="F1" s="774"/>
      <c r="G1" s="774"/>
      <c r="H1" s="774"/>
      <c r="I1" s="774"/>
    </row>
    <row r="2" spans="1:27">
      <c r="A2" s="774" t="s">
        <v>19</v>
      </c>
      <c r="B2" s="774"/>
      <c r="C2" s="774"/>
      <c r="D2" s="774"/>
      <c r="E2" s="774"/>
      <c r="F2" s="774"/>
      <c r="G2" s="774"/>
      <c r="H2" s="774"/>
      <c r="I2" s="774"/>
    </row>
    <row r="3" spans="1:27">
      <c r="A3" s="774" t="s">
        <v>1164</v>
      </c>
      <c r="B3" s="774"/>
      <c r="C3" s="774"/>
      <c r="D3" s="774"/>
      <c r="E3" s="774"/>
      <c r="F3" s="774"/>
      <c r="G3" s="774"/>
      <c r="H3" s="774"/>
      <c r="I3" s="774"/>
    </row>
    <row r="4" spans="1:27">
      <c r="A4" s="773"/>
      <c r="B4" s="773"/>
      <c r="C4" s="773"/>
      <c r="D4" s="773"/>
      <c r="E4" s="773"/>
      <c r="F4" s="773"/>
      <c r="G4" s="773"/>
      <c r="H4" s="773"/>
      <c r="I4" s="773"/>
    </row>
    <row r="5" spans="1:27">
      <c r="A5" s="778"/>
      <c r="B5" s="778"/>
      <c r="C5" s="778"/>
      <c r="D5" s="778"/>
      <c r="E5" s="778"/>
      <c r="F5" s="778"/>
      <c r="G5" s="778"/>
      <c r="H5" s="778"/>
      <c r="I5" s="778"/>
    </row>
    <row r="6" spans="1:27" s="676" customFormat="1" ht="18.75" customHeight="1">
      <c r="A6" s="779" t="s">
        <v>81</v>
      </c>
      <c r="B6" s="780" t="s">
        <v>505</v>
      </c>
      <c r="C6" s="780"/>
      <c r="D6" s="637" t="s">
        <v>171</v>
      </c>
      <c r="E6" s="637" t="s">
        <v>135</v>
      </c>
      <c r="F6" s="777" t="s">
        <v>138</v>
      </c>
      <c r="G6" s="777"/>
      <c r="H6" s="776" t="s">
        <v>187</v>
      </c>
      <c r="I6" s="776"/>
      <c r="J6" s="674"/>
      <c r="K6" s="674"/>
      <c r="L6" s="674"/>
      <c r="M6" s="674"/>
      <c r="N6" s="674"/>
      <c r="O6" s="674"/>
      <c r="P6" s="675"/>
      <c r="Q6" s="675"/>
      <c r="R6" s="675"/>
      <c r="S6" s="675"/>
      <c r="T6" s="675"/>
      <c r="U6" s="675"/>
      <c r="V6" s="675"/>
      <c r="W6" s="675"/>
      <c r="X6" s="675"/>
      <c r="Y6" s="675"/>
      <c r="Z6" s="675"/>
      <c r="AA6" s="675"/>
    </row>
    <row r="7" spans="1:27" s="680" customFormat="1" ht="24">
      <c r="A7" s="780"/>
      <c r="B7" s="677" t="s">
        <v>504</v>
      </c>
      <c r="C7" s="677" t="s">
        <v>134</v>
      </c>
      <c r="D7" s="777" t="s">
        <v>136</v>
      </c>
      <c r="E7" s="777"/>
      <c r="F7" s="637" t="s">
        <v>137</v>
      </c>
      <c r="G7" s="178" t="s">
        <v>189</v>
      </c>
      <c r="H7" s="225" t="s">
        <v>190</v>
      </c>
      <c r="I7" s="225" t="s">
        <v>191</v>
      </c>
      <c r="J7" s="678"/>
      <c r="K7" s="678"/>
      <c r="L7" s="678"/>
      <c r="M7" s="678"/>
      <c r="N7" s="678"/>
      <c r="O7" s="678"/>
      <c r="P7" s="679"/>
      <c r="Q7" s="679"/>
      <c r="R7" s="679"/>
      <c r="S7" s="679"/>
      <c r="T7" s="679"/>
      <c r="U7" s="679"/>
      <c r="V7" s="679"/>
      <c r="W7" s="679"/>
      <c r="X7" s="679"/>
      <c r="Y7" s="679"/>
      <c r="Z7" s="679"/>
      <c r="AA7" s="679"/>
    </row>
    <row r="8" spans="1:27" ht="17.25" customHeight="1">
      <c r="A8" s="681"/>
      <c r="B8" s="682"/>
      <c r="C8" s="681"/>
      <c r="D8" s="775"/>
      <c r="E8" s="775"/>
      <c r="F8" s="775"/>
      <c r="G8" s="775"/>
      <c r="H8" s="775"/>
      <c r="I8" s="775"/>
    </row>
    <row r="9" spans="1:27" s="685" customFormat="1" ht="15.75">
      <c r="A9" s="761" t="s">
        <v>24</v>
      </c>
      <c r="B9" s="761"/>
      <c r="C9" s="761"/>
      <c r="D9" s="38">
        <f>SUM(D11+D30)</f>
        <v>1058689177</v>
      </c>
      <c r="E9" s="38">
        <f>SUM(E11+E30)</f>
        <v>1107759095</v>
      </c>
      <c r="F9" s="38">
        <f>SUM(F11+F30)</f>
        <v>1033138958</v>
      </c>
      <c r="G9" s="39">
        <f>ROUND(F9/E9*100,2)</f>
        <v>93.26</v>
      </c>
      <c r="H9" s="39">
        <f>SUM(H10,H30)</f>
        <v>119.5</v>
      </c>
      <c r="I9" s="39">
        <f>SUM(I10,I30)</f>
        <v>115</v>
      </c>
      <c r="J9" s="683"/>
      <c r="K9" s="683"/>
      <c r="L9" s="683"/>
      <c r="M9" s="683"/>
      <c r="N9" s="683"/>
      <c r="O9" s="683"/>
      <c r="P9" s="684"/>
      <c r="Q9" s="684"/>
      <c r="R9" s="684"/>
      <c r="S9" s="684"/>
      <c r="T9" s="684"/>
      <c r="U9" s="684"/>
      <c r="V9" s="684"/>
      <c r="W9" s="684"/>
      <c r="X9" s="684"/>
      <c r="Y9" s="684"/>
      <c r="Z9" s="684"/>
      <c r="AA9" s="684"/>
    </row>
    <row r="10" spans="1:27" s="680" customFormat="1">
      <c r="A10" s="764" t="s">
        <v>1</v>
      </c>
      <c r="B10" s="764"/>
      <c r="C10" s="764"/>
      <c r="D10" s="27">
        <f>SUM(D11)</f>
        <v>473006849</v>
      </c>
      <c r="E10" s="27">
        <f>SUM(E11)</f>
        <v>503017029</v>
      </c>
      <c r="F10" s="27">
        <f>SUM(F11)</f>
        <v>484657411</v>
      </c>
      <c r="G10" s="29">
        <f t="shared" ref="G10:G49" si="0">ROUND(F10/E10*100,2)</f>
        <v>96.35</v>
      </c>
      <c r="H10" s="40">
        <f>SUM(H11)</f>
        <v>0</v>
      </c>
      <c r="I10" s="40">
        <f>SUM(I11)</f>
        <v>0</v>
      </c>
      <c r="J10" s="678"/>
      <c r="K10" s="678"/>
      <c r="L10" s="678"/>
      <c r="M10" s="678"/>
      <c r="N10" s="678"/>
      <c r="O10" s="678"/>
      <c r="P10" s="679"/>
      <c r="Q10" s="679"/>
      <c r="R10" s="679"/>
      <c r="S10" s="679"/>
      <c r="T10" s="679"/>
      <c r="U10" s="679"/>
      <c r="V10" s="679"/>
      <c r="W10" s="679"/>
      <c r="X10" s="679"/>
      <c r="Y10" s="679"/>
      <c r="Z10" s="679"/>
      <c r="AA10" s="679"/>
    </row>
    <row r="11" spans="1:27" s="686" customFormat="1">
      <c r="A11" s="765" t="s">
        <v>527</v>
      </c>
      <c r="B11" s="765"/>
      <c r="C11" s="765"/>
      <c r="D11" s="30">
        <f>SUM(D12:D29)</f>
        <v>473006849</v>
      </c>
      <c r="E11" s="30">
        <f>SUM(E12:E29)</f>
        <v>503017029</v>
      </c>
      <c r="F11" s="30">
        <f>SUM(F12:F29)</f>
        <v>484657411</v>
      </c>
      <c r="G11" s="31">
        <f t="shared" si="0"/>
        <v>96.35</v>
      </c>
      <c r="H11" s="41">
        <f>SUM(H12:H17)</f>
        <v>0</v>
      </c>
      <c r="I11" s="41">
        <f>SUM(I12:I17)</f>
        <v>0</v>
      </c>
      <c r="J11" s="678"/>
      <c r="K11" s="678"/>
      <c r="L11" s="678"/>
      <c r="M11" s="678"/>
      <c r="N11" s="678"/>
      <c r="O11" s="678"/>
      <c r="P11" s="679"/>
      <c r="Q11" s="679"/>
      <c r="R11" s="679"/>
      <c r="S11" s="679"/>
      <c r="T11" s="679"/>
      <c r="U11" s="679"/>
      <c r="V11" s="679"/>
      <c r="W11" s="679"/>
      <c r="X11" s="679"/>
      <c r="Y11" s="679"/>
      <c r="Z11" s="679"/>
      <c r="AA11" s="679"/>
    </row>
    <row r="12" spans="1:27">
      <c r="A12" s="771"/>
      <c r="B12" s="508" t="s">
        <v>506</v>
      </c>
      <c r="C12" s="507" t="s">
        <v>512</v>
      </c>
      <c r="D12" s="26">
        <f t="shared" ref="D12:D14" si="1">SUM(D59+D106+D153+D200+D245+D291+D337+D381)</f>
        <v>19867630</v>
      </c>
      <c r="E12" s="26">
        <f t="shared" ref="E12:F14" si="2">SUM(E59+E106+E153+E200+E245+E291+E337+E381+E425+E469)</f>
        <v>17294815</v>
      </c>
      <c r="F12" s="26">
        <f t="shared" si="2"/>
        <v>5206076</v>
      </c>
      <c r="G12" s="28">
        <f t="shared" si="0"/>
        <v>30.1</v>
      </c>
      <c r="H12" s="25"/>
      <c r="I12" s="25"/>
      <c r="P12" s="673"/>
      <c r="Q12" s="673"/>
      <c r="R12" s="673"/>
      <c r="S12" s="673"/>
      <c r="T12" s="673"/>
      <c r="U12" s="673"/>
      <c r="V12" s="673"/>
      <c r="W12" s="673"/>
      <c r="X12" s="673"/>
      <c r="Y12" s="673"/>
      <c r="Z12" s="673"/>
      <c r="AA12" s="673"/>
    </row>
    <row r="13" spans="1:27">
      <c r="A13" s="772"/>
      <c r="B13" s="508" t="s">
        <v>508</v>
      </c>
      <c r="C13" s="507" t="s">
        <v>874</v>
      </c>
      <c r="D13" s="26">
        <f t="shared" si="1"/>
        <v>0</v>
      </c>
      <c r="E13" s="26">
        <f t="shared" si="2"/>
        <v>0</v>
      </c>
      <c r="F13" s="26">
        <f t="shared" si="2"/>
        <v>0</v>
      </c>
      <c r="G13" s="28">
        <v>0</v>
      </c>
      <c r="H13" s="25"/>
      <c r="I13" s="25"/>
      <c r="P13" s="673"/>
      <c r="Q13" s="673"/>
      <c r="R13" s="673"/>
      <c r="S13" s="673"/>
      <c r="T13" s="673"/>
      <c r="U13" s="673"/>
      <c r="V13" s="673"/>
      <c r="W13" s="673"/>
      <c r="X13" s="673"/>
      <c r="Y13" s="673"/>
      <c r="Z13" s="673"/>
      <c r="AA13" s="673"/>
    </row>
    <row r="14" spans="1:27" ht="25.5">
      <c r="A14" s="772"/>
      <c r="B14" s="509" t="s">
        <v>884</v>
      </c>
      <c r="C14" s="510" t="s">
        <v>1191</v>
      </c>
      <c r="D14" s="26">
        <f t="shared" si="1"/>
        <v>29873016</v>
      </c>
      <c r="E14" s="26">
        <f t="shared" si="2"/>
        <v>29873016</v>
      </c>
      <c r="F14" s="26">
        <f t="shared" si="2"/>
        <v>24596135</v>
      </c>
      <c r="G14" s="28">
        <f>ROUND(F14/E14*100,2)</f>
        <v>82.34</v>
      </c>
      <c r="H14" s="25"/>
      <c r="I14" s="25"/>
      <c r="P14" s="673"/>
      <c r="Q14" s="673"/>
      <c r="R14" s="673"/>
      <c r="S14" s="673"/>
      <c r="T14" s="673"/>
      <c r="U14" s="673"/>
      <c r="V14" s="673"/>
      <c r="W14" s="673"/>
      <c r="X14" s="673"/>
      <c r="Y14" s="673"/>
      <c r="Z14" s="673"/>
      <c r="AA14" s="673"/>
    </row>
    <row r="15" spans="1:27" ht="25.5">
      <c r="A15" s="772"/>
      <c r="B15" s="509" t="s">
        <v>961</v>
      </c>
      <c r="C15" s="510" t="s">
        <v>962</v>
      </c>
      <c r="D15" s="26">
        <f>D62+D109+D156+D248+D294</f>
        <v>405251</v>
      </c>
      <c r="E15" s="26">
        <f t="shared" ref="E15:F15" si="3">E62+E109+E156+E248+E294</f>
        <v>0</v>
      </c>
      <c r="F15" s="26">
        <f t="shared" si="3"/>
        <v>0</v>
      </c>
      <c r="G15" s="28">
        <v>0</v>
      </c>
      <c r="H15" s="25"/>
      <c r="I15" s="25"/>
      <c r="P15" s="673"/>
      <c r="Q15" s="673"/>
      <c r="R15" s="673"/>
      <c r="S15" s="673"/>
      <c r="T15" s="673"/>
      <c r="U15" s="673"/>
      <c r="V15" s="673"/>
      <c r="W15" s="673"/>
      <c r="X15" s="673"/>
      <c r="Y15" s="673"/>
      <c r="Z15" s="673"/>
      <c r="AA15" s="673"/>
    </row>
    <row r="16" spans="1:27" ht="25.5">
      <c r="A16" s="772"/>
      <c r="B16" s="509" t="s">
        <v>508</v>
      </c>
      <c r="C16" s="510" t="s">
        <v>962</v>
      </c>
      <c r="D16" s="26">
        <f>SUM(D203)</f>
        <v>0</v>
      </c>
      <c r="E16" s="26">
        <f t="shared" ref="E16:F16" si="4">SUM(E203)</f>
        <v>405251</v>
      </c>
      <c r="F16" s="26">
        <f t="shared" si="4"/>
        <v>405251</v>
      </c>
      <c r="G16" s="28"/>
      <c r="H16" s="25"/>
      <c r="I16" s="25"/>
      <c r="P16" s="673"/>
      <c r="Q16" s="673"/>
      <c r="R16" s="673"/>
      <c r="S16" s="673"/>
      <c r="T16" s="673"/>
      <c r="U16" s="673"/>
      <c r="V16" s="673"/>
      <c r="W16" s="673"/>
      <c r="X16" s="673"/>
      <c r="Y16" s="673"/>
      <c r="Z16" s="673"/>
      <c r="AA16" s="673"/>
    </row>
    <row r="17" spans="1:27">
      <c r="A17" s="772"/>
      <c r="B17" s="508" t="s">
        <v>513</v>
      </c>
      <c r="C17" s="507" t="s">
        <v>514</v>
      </c>
      <c r="D17" s="26">
        <f t="shared" ref="D17" si="5">SUM(D63+D110+D157+D204+D249+D295+D340+D384)</f>
        <v>33692196</v>
      </c>
      <c r="E17" s="26">
        <f>SUM(E63+E110+E157+E204+E249+E295+E340+E384+E428+E472)</f>
        <v>33692196</v>
      </c>
      <c r="F17" s="26">
        <f>SUM(F63+F110+F157+F204+F249+F295+F340+F384+F428+F472)</f>
        <v>33692196</v>
      </c>
      <c r="G17" s="28">
        <f t="shared" si="0"/>
        <v>100</v>
      </c>
      <c r="H17" s="25"/>
      <c r="I17" s="25"/>
      <c r="P17" s="673"/>
      <c r="Q17" s="673"/>
      <c r="R17" s="673"/>
      <c r="S17" s="673"/>
      <c r="T17" s="673"/>
      <c r="U17" s="673"/>
      <c r="V17" s="673"/>
      <c r="W17" s="673"/>
      <c r="X17" s="673"/>
      <c r="Y17" s="673"/>
      <c r="Z17" s="673"/>
      <c r="AA17" s="673"/>
    </row>
    <row r="18" spans="1:27">
      <c r="A18" s="772"/>
      <c r="B18" s="508" t="s">
        <v>508</v>
      </c>
      <c r="C18" s="507" t="s">
        <v>516</v>
      </c>
      <c r="D18" s="26">
        <f>SUM(D205+D429+D473)</f>
        <v>389074758</v>
      </c>
      <c r="E18" s="26">
        <f>SUM(E64+E111+E158+E205+E250+E296+E341+E385+E429+E473)</f>
        <v>421657753</v>
      </c>
      <c r="F18" s="26">
        <f>SUM(F64+F111+F158+F205+F250+F296+F341+F385+F429+F473)</f>
        <v>420757753</v>
      </c>
      <c r="G18" s="28">
        <f t="shared" si="0"/>
        <v>99.79</v>
      </c>
      <c r="H18" s="25"/>
      <c r="I18" s="25"/>
      <c r="P18" s="673"/>
      <c r="Q18" s="673"/>
      <c r="R18" s="673"/>
      <c r="S18" s="673"/>
      <c r="T18" s="673"/>
      <c r="U18" s="673"/>
      <c r="V18" s="673"/>
      <c r="W18" s="673"/>
      <c r="X18" s="673"/>
      <c r="Y18" s="673"/>
      <c r="Z18" s="673"/>
      <c r="AA18" s="673"/>
    </row>
    <row r="19" spans="1:27">
      <c r="A19" s="772"/>
      <c r="B19" s="508" t="s">
        <v>509</v>
      </c>
      <c r="C19" s="507" t="s">
        <v>511</v>
      </c>
      <c r="D19" s="26">
        <f t="shared" ref="D19:D23" si="6">SUM(D66+D113+D160+D207+D252+D298+D343+D387)</f>
        <v>0</v>
      </c>
      <c r="E19" s="26">
        <f t="shared" ref="E19:F28" si="7">SUM(E65+E112+E159+E206+E251+E297+E343+E387+E431+E475)</f>
        <v>0</v>
      </c>
      <c r="F19" s="26">
        <f t="shared" si="7"/>
        <v>0</v>
      </c>
      <c r="G19" s="28"/>
      <c r="H19" s="25"/>
      <c r="I19" s="25"/>
      <c r="P19" s="673"/>
      <c r="Q19" s="673"/>
      <c r="R19" s="673"/>
      <c r="S19" s="673"/>
      <c r="T19" s="673"/>
      <c r="U19" s="673"/>
      <c r="V19" s="673"/>
      <c r="W19" s="673"/>
      <c r="X19" s="673"/>
      <c r="Y19" s="673"/>
      <c r="Z19" s="673"/>
      <c r="AA19" s="673"/>
    </row>
    <row r="20" spans="1:27">
      <c r="A20" s="772"/>
      <c r="B20" s="506">
        <v>107052</v>
      </c>
      <c r="C20" s="507" t="s">
        <v>518</v>
      </c>
      <c r="D20" s="26">
        <f t="shared" si="6"/>
        <v>0</v>
      </c>
      <c r="E20" s="26">
        <f t="shared" si="7"/>
        <v>0</v>
      </c>
      <c r="F20" s="26">
        <f t="shared" si="7"/>
        <v>0</v>
      </c>
      <c r="G20" s="28"/>
      <c r="H20" s="25"/>
      <c r="I20" s="25"/>
    </row>
    <row r="21" spans="1:27">
      <c r="A21" s="772"/>
      <c r="B21" s="506">
        <v>107051</v>
      </c>
      <c r="C21" s="507" t="s">
        <v>194</v>
      </c>
      <c r="D21" s="26">
        <f t="shared" si="6"/>
        <v>0</v>
      </c>
      <c r="E21" s="26">
        <f t="shared" si="7"/>
        <v>0</v>
      </c>
      <c r="F21" s="26">
        <f t="shared" si="7"/>
        <v>0</v>
      </c>
      <c r="G21" s="28"/>
      <c r="H21" s="25"/>
      <c r="I21" s="25"/>
    </row>
    <row r="22" spans="1:27">
      <c r="A22" s="772"/>
      <c r="B22" s="506">
        <v>107053</v>
      </c>
      <c r="C22" s="507" t="s">
        <v>519</v>
      </c>
      <c r="D22" s="26">
        <f t="shared" si="6"/>
        <v>0</v>
      </c>
      <c r="E22" s="26">
        <f t="shared" si="7"/>
        <v>0</v>
      </c>
      <c r="F22" s="26">
        <f t="shared" si="7"/>
        <v>0</v>
      </c>
      <c r="G22" s="28"/>
      <c r="H22" s="25"/>
      <c r="I22" s="25"/>
    </row>
    <row r="23" spans="1:27">
      <c r="A23" s="772"/>
      <c r="B23" s="506">
        <v>102031</v>
      </c>
      <c r="C23" s="507" t="s">
        <v>520</v>
      </c>
      <c r="D23" s="26">
        <f t="shared" si="6"/>
        <v>0</v>
      </c>
      <c r="E23" s="26">
        <f t="shared" si="7"/>
        <v>0</v>
      </c>
      <c r="F23" s="26">
        <f t="shared" si="7"/>
        <v>0</v>
      </c>
      <c r="G23" s="28"/>
      <c r="H23" s="25"/>
      <c r="I23" s="25"/>
    </row>
    <row r="24" spans="1:27">
      <c r="A24" s="772"/>
      <c r="B24" s="506">
        <v>107013</v>
      </c>
      <c r="C24" s="507" t="s">
        <v>521</v>
      </c>
      <c r="D24" s="26">
        <v>0</v>
      </c>
      <c r="E24" s="26">
        <f t="shared" si="7"/>
        <v>0</v>
      </c>
      <c r="F24" s="26">
        <f t="shared" si="7"/>
        <v>0</v>
      </c>
      <c r="G24" s="28"/>
      <c r="H24" s="25"/>
      <c r="I24" s="25"/>
    </row>
    <row r="25" spans="1:27">
      <c r="A25" s="772"/>
      <c r="B25" s="506">
        <v>104042</v>
      </c>
      <c r="C25" s="507" t="s">
        <v>874</v>
      </c>
      <c r="D25" s="26">
        <f>SUM(D72+D119+D213+D258+D304+D349+D393+D165)</f>
        <v>93998</v>
      </c>
      <c r="E25" s="26">
        <f>SUM(E71+E118+E165+E212+E257+E303+E349+E393+E437+E481)</f>
        <v>93998</v>
      </c>
      <c r="F25" s="26">
        <f t="shared" si="7"/>
        <v>0</v>
      </c>
      <c r="G25" s="28">
        <f>ROUND(F25/E25*100,2)</f>
        <v>0</v>
      </c>
      <c r="H25" s="25"/>
      <c r="I25" s="25"/>
    </row>
    <row r="26" spans="1:27">
      <c r="A26" s="772"/>
      <c r="B26" s="506">
        <v>104043</v>
      </c>
      <c r="C26" s="507" t="s">
        <v>523</v>
      </c>
      <c r="D26" s="26">
        <f t="shared" ref="D26:D28" si="8">SUM(D73+D120+D167+D214+D259+D305+D350+D394)</f>
        <v>0</v>
      </c>
      <c r="E26" s="26">
        <f t="shared" si="7"/>
        <v>0</v>
      </c>
      <c r="F26" s="26">
        <f t="shared" si="7"/>
        <v>0</v>
      </c>
      <c r="G26" s="28"/>
      <c r="H26" s="25"/>
      <c r="I26" s="25"/>
    </row>
    <row r="27" spans="1:27">
      <c r="A27" s="772"/>
      <c r="B27" s="506">
        <v>104031</v>
      </c>
      <c r="C27" s="507" t="s">
        <v>524</v>
      </c>
      <c r="D27" s="26">
        <f t="shared" si="8"/>
        <v>0</v>
      </c>
      <c r="E27" s="26">
        <f t="shared" si="7"/>
        <v>0</v>
      </c>
      <c r="F27" s="26">
        <f t="shared" si="7"/>
        <v>0</v>
      </c>
      <c r="G27" s="28"/>
      <c r="H27" s="25"/>
      <c r="I27" s="25"/>
    </row>
    <row r="28" spans="1:27">
      <c r="A28" s="772"/>
      <c r="B28" s="506">
        <v>104035</v>
      </c>
      <c r="C28" s="507" t="s">
        <v>525</v>
      </c>
      <c r="D28" s="26">
        <f t="shared" si="8"/>
        <v>0</v>
      </c>
      <c r="E28" s="26">
        <f t="shared" si="7"/>
        <v>0</v>
      </c>
      <c r="F28" s="26">
        <f t="shared" si="7"/>
        <v>0</v>
      </c>
      <c r="G28" s="28"/>
      <c r="H28" s="25"/>
      <c r="I28" s="25"/>
    </row>
    <row r="29" spans="1:27">
      <c r="A29" s="781"/>
      <c r="B29" s="506">
        <v>104036</v>
      </c>
      <c r="C29" s="507" t="s">
        <v>526</v>
      </c>
      <c r="D29" s="26"/>
      <c r="E29" s="26">
        <f>SUM(E75+E122+E169+E216+E261+E307+E353+E441+E485)</f>
        <v>0</v>
      </c>
      <c r="F29" s="26">
        <f>SUM(F75+F122+F169+F216+F261+F307+F353+F441+F485)</f>
        <v>0</v>
      </c>
      <c r="G29" s="28"/>
      <c r="H29" s="25"/>
      <c r="I29" s="25"/>
    </row>
    <row r="30" spans="1:27" s="680" customFormat="1">
      <c r="A30" s="767" t="s">
        <v>528</v>
      </c>
      <c r="B30" s="767"/>
      <c r="C30" s="767"/>
      <c r="D30" s="27">
        <f>SUM(D31+D40+D47)</f>
        <v>585682328</v>
      </c>
      <c r="E30" s="27">
        <f>SUM(E31+E40+E47)</f>
        <v>604742066</v>
      </c>
      <c r="F30" s="27">
        <f>SUM(F31+F40+F47)</f>
        <v>548481547</v>
      </c>
      <c r="G30" s="29">
        <f t="shared" si="0"/>
        <v>90.7</v>
      </c>
      <c r="H30" s="42">
        <f>SUM(H31,H40,H47)</f>
        <v>119.5</v>
      </c>
      <c r="I30" s="42">
        <f>SUM(I31,I40,I47)</f>
        <v>115</v>
      </c>
      <c r="J30" s="678"/>
      <c r="K30" s="678"/>
      <c r="L30" s="678"/>
      <c r="M30" s="678"/>
      <c r="N30" s="678"/>
      <c r="O30" s="678"/>
      <c r="P30" s="679"/>
      <c r="Q30" s="679"/>
      <c r="R30" s="679"/>
      <c r="S30" s="679"/>
      <c r="T30" s="679"/>
      <c r="U30" s="679"/>
      <c r="V30" s="679"/>
      <c r="W30" s="679"/>
      <c r="X30" s="679"/>
      <c r="Y30" s="679"/>
      <c r="Z30" s="679"/>
      <c r="AA30" s="679"/>
    </row>
    <row r="31" spans="1:27" s="687" customFormat="1">
      <c r="A31" s="768" t="s">
        <v>530</v>
      </c>
      <c r="B31" s="768"/>
      <c r="C31" s="768"/>
      <c r="D31" s="32">
        <f>SUM(D32:D39)</f>
        <v>295036017</v>
      </c>
      <c r="E31" s="32">
        <f t="shared" ref="E31" si="9">SUM(E32:E39)</f>
        <v>286859444</v>
      </c>
      <c r="F31" s="32">
        <f>SUM(F32:F39)</f>
        <v>269723502</v>
      </c>
      <c r="G31" s="33">
        <f>ROUND(F31/E31*100,2)</f>
        <v>94.03</v>
      </c>
      <c r="H31" s="43">
        <v>64</v>
      </c>
      <c r="I31" s="43">
        <v>64</v>
      </c>
      <c r="J31" s="678"/>
      <c r="K31" s="678"/>
      <c r="L31" s="678"/>
      <c r="M31" s="678"/>
      <c r="N31" s="678"/>
      <c r="O31" s="678"/>
      <c r="P31" s="679"/>
      <c r="Q31" s="679"/>
      <c r="R31" s="679"/>
      <c r="S31" s="679"/>
      <c r="T31" s="679"/>
      <c r="U31" s="679"/>
      <c r="V31" s="679"/>
      <c r="W31" s="679"/>
      <c r="X31" s="679"/>
      <c r="Y31" s="679"/>
      <c r="Z31" s="679"/>
      <c r="AA31" s="679"/>
    </row>
    <row r="32" spans="1:27">
      <c r="A32" s="771"/>
      <c r="B32" s="506">
        <v>107052</v>
      </c>
      <c r="C32" s="507" t="s">
        <v>518</v>
      </c>
      <c r="D32" s="26">
        <f>SUM(D79+D126+D173+D219+D265)</f>
        <v>188707507</v>
      </c>
      <c r="E32" s="26">
        <f>SUM(E79+E126+E173+E219+E265+E311+E355+E399+E443)</f>
        <v>184643667</v>
      </c>
      <c r="F32" s="26">
        <f>SUM(F79+F126+F173+F219+F265)</f>
        <v>170056429</v>
      </c>
      <c r="G32" s="28">
        <f t="shared" si="0"/>
        <v>92.1</v>
      </c>
      <c r="H32" s="25">
        <v>49</v>
      </c>
      <c r="I32" s="25">
        <v>43</v>
      </c>
      <c r="P32" s="673"/>
      <c r="Q32" s="673"/>
      <c r="R32" s="673"/>
      <c r="S32" s="673"/>
      <c r="T32" s="673"/>
      <c r="U32" s="673"/>
      <c r="V32" s="673"/>
      <c r="W32" s="673"/>
      <c r="X32" s="673"/>
      <c r="Y32" s="673"/>
      <c r="Z32" s="673"/>
      <c r="AA32" s="673"/>
    </row>
    <row r="33" spans="1:27">
      <c r="A33" s="772"/>
      <c r="B33" s="506">
        <v>107053</v>
      </c>
      <c r="C33" s="507" t="s">
        <v>519</v>
      </c>
      <c r="D33" s="26">
        <f t="shared" ref="D33:F37" si="10">SUM(D80+D127+D174+D220)</f>
        <v>9935604</v>
      </c>
      <c r="E33" s="26">
        <f>SUM(E80+E127+E174+E220)</f>
        <v>10060730</v>
      </c>
      <c r="F33" s="26">
        <f t="shared" si="10"/>
        <v>9889292</v>
      </c>
      <c r="G33" s="28">
        <f t="shared" si="0"/>
        <v>98.3</v>
      </c>
      <c r="H33" s="25"/>
      <c r="I33" s="25"/>
      <c r="P33" s="673"/>
      <c r="Q33" s="673"/>
      <c r="R33" s="673"/>
      <c r="S33" s="673"/>
      <c r="T33" s="673"/>
      <c r="U33" s="673"/>
      <c r="V33" s="673"/>
      <c r="W33" s="673"/>
      <c r="X33" s="673"/>
      <c r="Y33" s="673"/>
      <c r="Z33" s="673"/>
      <c r="AA33" s="673"/>
    </row>
    <row r="34" spans="1:27">
      <c r="A34" s="772"/>
      <c r="B34" s="506">
        <v>107051</v>
      </c>
      <c r="C34" s="507" t="s">
        <v>194</v>
      </c>
      <c r="D34" s="26">
        <f t="shared" si="10"/>
        <v>21128896</v>
      </c>
      <c r="E34" s="26">
        <f>SUM(E81+E128+E175+E221+E267)</f>
        <v>20387932</v>
      </c>
      <c r="F34" s="26">
        <f t="shared" si="10"/>
        <v>20187750</v>
      </c>
      <c r="G34" s="28">
        <f t="shared" si="0"/>
        <v>99.02</v>
      </c>
      <c r="H34" s="25">
        <v>2</v>
      </c>
      <c r="I34" s="25">
        <v>2</v>
      </c>
      <c r="P34" s="673"/>
      <c r="Q34" s="673"/>
      <c r="R34" s="673"/>
      <c r="S34" s="673"/>
      <c r="T34" s="673"/>
      <c r="U34" s="673"/>
      <c r="V34" s="673"/>
      <c r="W34" s="673"/>
      <c r="X34" s="673"/>
      <c r="Y34" s="673"/>
      <c r="Z34" s="673"/>
      <c r="AA34" s="673"/>
    </row>
    <row r="35" spans="1:27">
      <c r="A35" s="772"/>
      <c r="B35" s="506">
        <v>102031</v>
      </c>
      <c r="C35" s="507" t="s">
        <v>520</v>
      </c>
      <c r="D35" s="26">
        <f t="shared" si="10"/>
        <v>17049389</v>
      </c>
      <c r="E35" s="26">
        <f>SUM(E82+E129+E176+E222+E268)</f>
        <v>16525346</v>
      </c>
      <c r="F35" s="26">
        <f>SUM(F82+F129+F176+F222+F268)</f>
        <v>16357403</v>
      </c>
      <c r="G35" s="28">
        <f t="shared" si="0"/>
        <v>98.98</v>
      </c>
      <c r="H35" s="25">
        <v>4</v>
      </c>
      <c r="I35" s="25">
        <v>4</v>
      </c>
      <c r="P35" s="673"/>
      <c r="Q35" s="673"/>
      <c r="R35" s="673"/>
      <c r="S35" s="673"/>
      <c r="T35" s="673"/>
      <c r="U35" s="673"/>
      <c r="V35" s="673"/>
      <c r="W35" s="673"/>
      <c r="X35" s="673"/>
      <c r="Y35" s="673"/>
      <c r="Z35" s="673"/>
      <c r="AA35" s="673"/>
    </row>
    <row r="36" spans="1:27">
      <c r="A36" s="772"/>
      <c r="B36" s="506">
        <v>102032</v>
      </c>
      <c r="C36" s="507" t="s">
        <v>883</v>
      </c>
      <c r="D36" s="26">
        <f t="shared" si="10"/>
        <v>15152467</v>
      </c>
      <c r="E36" s="26">
        <f>SUM(E83+E130+E177+E223)</f>
        <v>14425540</v>
      </c>
      <c r="F36" s="26">
        <f t="shared" si="10"/>
        <v>14093964</v>
      </c>
      <c r="G36" s="28">
        <f t="shared" si="0"/>
        <v>97.7</v>
      </c>
      <c r="H36" s="25">
        <v>3</v>
      </c>
      <c r="I36" s="25">
        <v>3</v>
      </c>
      <c r="P36" s="673"/>
      <c r="Q36" s="673"/>
      <c r="R36" s="673"/>
      <c r="S36" s="673"/>
      <c r="T36" s="673"/>
      <c r="U36" s="673"/>
      <c r="V36" s="673"/>
      <c r="W36" s="673"/>
      <c r="X36" s="673"/>
      <c r="Y36" s="673"/>
      <c r="Z36" s="673"/>
      <c r="AA36" s="673"/>
    </row>
    <row r="37" spans="1:27">
      <c r="A37" s="772"/>
      <c r="B37" s="506">
        <v>107013</v>
      </c>
      <c r="C37" s="507" t="s">
        <v>532</v>
      </c>
      <c r="D37" s="26">
        <f t="shared" si="10"/>
        <v>34628690</v>
      </c>
      <c r="E37" s="26">
        <f>SUM(E84+E131+E178+E224+E269)</f>
        <v>32382049</v>
      </c>
      <c r="F37" s="26">
        <f t="shared" si="10"/>
        <v>30696756</v>
      </c>
      <c r="G37" s="28">
        <f t="shared" si="0"/>
        <v>94.8</v>
      </c>
      <c r="H37" s="25">
        <v>7</v>
      </c>
      <c r="I37" s="25">
        <v>4</v>
      </c>
      <c r="P37" s="673"/>
      <c r="Q37" s="673"/>
      <c r="R37" s="673"/>
      <c r="S37" s="673"/>
      <c r="T37" s="673"/>
      <c r="U37" s="673"/>
      <c r="V37" s="673"/>
      <c r="W37" s="673"/>
      <c r="X37" s="673"/>
      <c r="Y37" s="673"/>
      <c r="Z37" s="673"/>
      <c r="AA37" s="673"/>
    </row>
    <row r="38" spans="1:27">
      <c r="A38" s="772"/>
      <c r="B38" s="508" t="s">
        <v>510</v>
      </c>
      <c r="C38" s="507" t="s">
        <v>533</v>
      </c>
      <c r="D38" s="26">
        <f>SUM(D85+D132)</f>
        <v>8433464</v>
      </c>
      <c r="E38" s="26">
        <f>SUM(E85+E132+E179)</f>
        <v>8434180</v>
      </c>
      <c r="F38" s="26">
        <f>SUM(F85+F132+F179+F225)</f>
        <v>8441908</v>
      </c>
      <c r="G38" s="28">
        <f t="shared" si="0"/>
        <v>100.09</v>
      </c>
      <c r="H38" s="25"/>
      <c r="I38" s="25">
        <v>8</v>
      </c>
      <c r="P38" s="673"/>
      <c r="Q38" s="673"/>
      <c r="R38" s="673"/>
      <c r="S38" s="673"/>
      <c r="T38" s="673"/>
      <c r="U38" s="673"/>
      <c r="V38" s="673"/>
      <c r="W38" s="673"/>
      <c r="X38" s="673"/>
      <c r="Y38" s="673"/>
      <c r="Z38" s="673"/>
      <c r="AA38" s="673"/>
    </row>
    <row r="39" spans="1:27">
      <c r="A39" s="781"/>
      <c r="B39" s="508" t="s">
        <v>508</v>
      </c>
      <c r="C39" s="507" t="s">
        <v>516</v>
      </c>
      <c r="D39" s="26">
        <f>SUM(D225)</f>
        <v>0</v>
      </c>
      <c r="E39" s="26">
        <f>SUM(E225)</f>
        <v>0</v>
      </c>
      <c r="F39" s="26">
        <f>SUM(F86+F133+F180+F226)</f>
        <v>0</v>
      </c>
      <c r="G39" s="28">
        <v>0</v>
      </c>
      <c r="H39" s="25"/>
      <c r="I39" s="25"/>
      <c r="P39" s="673"/>
      <c r="Q39" s="673"/>
      <c r="R39" s="673"/>
      <c r="S39" s="673"/>
      <c r="T39" s="673"/>
      <c r="U39" s="673"/>
      <c r="V39" s="673"/>
      <c r="W39" s="673"/>
      <c r="X39" s="673"/>
      <c r="Y39" s="673"/>
      <c r="Z39" s="673"/>
      <c r="AA39" s="673"/>
    </row>
    <row r="40" spans="1:27" s="688" customFormat="1">
      <c r="A40" s="769" t="s">
        <v>529</v>
      </c>
      <c r="B40" s="769"/>
      <c r="C40" s="769"/>
      <c r="D40" s="36">
        <f>SUM(D41:D46)</f>
        <v>186985333</v>
      </c>
      <c r="E40" s="36">
        <f t="shared" ref="E40:F40" si="11">SUM(E41:E46)</f>
        <v>201442262</v>
      </c>
      <c r="F40" s="36">
        <f t="shared" si="11"/>
        <v>178051538</v>
      </c>
      <c r="G40" s="37">
        <f t="shared" si="0"/>
        <v>88.39</v>
      </c>
      <c r="H40" s="44">
        <f>SUM(H41:H44)</f>
        <v>37.5</v>
      </c>
      <c r="I40" s="44">
        <f>SUM(I41:I44)</f>
        <v>33</v>
      </c>
      <c r="J40" s="678"/>
      <c r="K40" s="678"/>
      <c r="L40" s="678"/>
      <c r="M40" s="678"/>
      <c r="N40" s="678"/>
      <c r="O40" s="678"/>
      <c r="P40" s="679"/>
      <c r="Q40" s="679"/>
      <c r="R40" s="679"/>
      <c r="S40" s="679"/>
      <c r="T40" s="679"/>
      <c r="U40" s="679"/>
      <c r="V40" s="679"/>
      <c r="W40" s="679"/>
      <c r="X40" s="679"/>
      <c r="Y40" s="679"/>
      <c r="Z40" s="679"/>
      <c r="AA40" s="679"/>
    </row>
    <row r="41" spans="1:27">
      <c r="A41" s="771"/>
      <c r="B41" s="506">
        <v>104042</v>
      </c>
      <c r="C41" s="507" t="s">
        <v>522</v>
      </c>
      <c r="D41" s="26">
        <f>SUM(D88+D135+D182+D273)</f>
        <v>105017545</v>
      </c>
      <c r="E41" s="26">
        <f>SUM(E88+E135+E182+E227+E273+E319+E363)</f>
        <v>107029767</v>
      </c>
      <c r="F41" s="26">
        <f>SUM(F88+F135+F182+F227+F273+F319+F363)</f>
        <v>102141207</v>
      </c>
      <c r="G41" s="28">
        <f t="shared" si="0"/>
        <v>95.43</v>
      </c>
      <c r="H41" s="25">
        <v>22.5</v>
      </c>
      <c r="I41" s="25">
        <v>20</v>
      </c>
    </row>
    <row r="42" spans="1:27">
      <c r="A42" s="772"/>
      <c r="B42" s="506">
        <v>104043</v>
      </c>
      <c r="C42" s="507" t="s">
        <v>523</v>
      </c>
      <c r="D42" s="26">
        <v>60140588</v>
      </c>
      <c r="E42" s="26">
        <f>SUM(E89+E136+E183+E228+E274+E320+E364)</f>
        <v>56397242</v>
      </c>
      <c r="F42" s="26">
        <f>SUM(F89+F136+F183+F228+F274+F320+F364)</f>
        <v>50155712</v>
      </c>
      <c r="G42" s="28">
        <f t="shared" si="0"/>
        <v>88.93</v>
      </c>
      <c r="H42" s="25">
        <v>11</v>
      </c>
      <c r="I42" s="25">
        <v>9</v>
      </c>
    </row>
    <row r="43" spans="1:27" ht="25.5">
      <c r="A43" s="772"/>
      <c r="B43" s="506">
        <v>104042</v>
      </c>
      <c r="C43" s="510" t="s">
        <v>1191</v>
      </c>
      <c r="D43" s="26">
        <f>SUM(D90+D137+D184+D229+D275+D321+D365+D409)</f>
        <v>2039654</v>
      </c>
      <c r="E43" s="26">
        <f>SUM(E90+E137+E184+E229+E275+E321+E365+E409)</f>
        <v>5178911</v>
      </c>
      <c r="F43" s="26">
        <f>SUM(F90+F137+F184+F229+F275+F321+F365+F409)</f>
        <v>5175570</v>
      </c>
      <c r="G43" s="28">
        <f t="shared" si="0"/>
        <v>99.94</v>
      </c>
      <c r="H43" s="25"/>
      <c r="I43" s="25"/>
    </row>
    <row r="44" spans="1:27">
      <c r="A44" s="772"/>
      <c r="B44" s="506">
        <v>104043</v>
      </c>
      <c r="C44" s="507" t="s">
        <v>882</v>
      </c>
      <c r="D44" s="26">
        <f>SUM(D91+D138+D185+D230+D276+D322+D366)</f>
        <v>19787546</v>
      </c>
      <c r="E44" s="26">
        <f>SUM(E91+E138+E185+E230+E276+E322+E366)</f>
        <v>32836342</v>
      </c>
      <c r="F44" s="26">
        <f>SUM(F91+F138+F185+F230+F276+F322+F366)</f>
        <v>20579049</v>
      </c>
      <c r="G44" s="28">
        <f t="shared" si="0"/>
        <v>62.67</v>
      </c>
      <c r="H44" s="25">
        <v>4</v>
      </c>
      <c r="I44" s="25">
        <v>4</v>
      </c>
    </row>
    <row r="45" spans="1:27">
      <c r="A45" s="772"/>
      <c r="B45" s="508" t="s">
        <v>510</v>
      </c>
      <c r="C45" s="507" t="s">
        <v>533</v>
      </c>
      <c r="D45" s="26">
        <f>SUM(D92+D139+D186+D231+D277+D323+D367)</f>
        <v>0</v>
      </c>
      <c r="E45" s="26">
        <f>SUM(E92+E139+E186+E231+E277+E323+E367)</f>
        <v>0</v>
      </c>
      <c r="F45" s="26">
        <f>SUM(F92+F139+F186+F231+F323+F367)</f>
        <v>0</v>
      </c>
      <c r="G45" s="28">
        <v>0</v>
      </c>
      <c r="H45" s="25"/>
      <c r="I45" s="25"/>
    </row>
    <row r="46" spans="1:27">
      <c r="A46" s="772"/>
      <c r="B46" s="508" t="s">
        <v>508</v>
      </c>
      <c r="C46" s="507" t="s">
        <v>516</v>
      </c>
      <c r="D46" s="464">
        <f>SUM(D93+D140+D187+D232+D278+D324+D368)</f>
        <v>0</v>
      </c>
      <c r="E46" s="464">
        <f>SUM(E93+E140+E187+E232+E278+E324+E368)</f>
        <v>0</v>
      </c>
      <c r="F46" s="464">
        <f>SUM(F93+F140+F187+F232+F278+F324+F368)</f>
        <v>0</v>
      </c>
      <c r="G46" s="28">
        <v>0</v>
      </c>
      <c r="H46" s="25"/>
      <c r="I46" s="25"/>
    </row>
    <row r="47" spans="1:27" s="689" customFormat="1">
      <c r="A47" s="770" t="s">
        <v>531</v>
      </c>
      <c r="B47" s="770"/>
      <c r="C47" s="770"/>
      <c r="D47" s="34">
        <f>SUM(D48:D53)</f>
        <v>103660978</v>
      </c>
      <c r="E47" s="34">
        <f t="shared" ref="E47:F47" si="12">SUM(E48:E53)</f>
        <v>116440360</v>
      </c>
      <c r="F47" s="34">
        <f t="shared" si="12"/>
        <v>100706507</v>
      </c>
      <c r="G47" s="35">
        <f t="shared" si="0"/>
        <v>86.49</v>
      </c>
      <c r="H47" s="45">
        <f>SUM(H48:H52)</f>
        <v>18</v>
      </c>
      <c r="I47" s="45">
        <f>SUM(I48:I52)</f>
        <v>18</v>
      </c>
      <c r="J47" s="678"/>
      <c r="K47" s="678"/>
      <c r="L47" s="678"/>
      <c r="M47" s="678"/>
      <c r="N47" s="678"/>
      <c r="O47" s="678"/>
      <c r="P47" s="679"/>
      <c r="Q47" s="679"/>
      <c r="R47" s="679"/>
      <c r="S47" s="679"/>
      <c r="T47" s="679"/>
      <c r="U47" s="679"/>
      <c r="V47" s="679"/>
      <c r="W47" s="679"/>
      <c r="X47" s="679"/>
      <c r="Y47" s="679"/>
      <c r="Z47" s="679"/>
      <c r="AA47" s="679"/>
    </row>
    <row r="48" spans="1:27">
      <c r="A48" s="771"/>
      <c r="B48" s="506">
        <v>104031</v>
      </c>
      <c r="C48" s="507" t="s">
        <v>524</v>
      </c>
      <c r="D48" s="26">
        <f t="shared" ref="D48:F53" si="13">SUM(D95+D142+D189+D234+D280+D326+D370)</f>
        <v>86574914</v>
      </c>
      <c r="E48" s="26">
        <f t="shared" si="13"/>
        <v>98887216</v>
      </c>
      <c r="F48" s="26">
        <f t="shared" si="13"/>
        <v>83289488</v>
      </c>
      <c r="G48" s="28">
        <f t="shared" si="0"/>
        <v>84.23</v>
      </c>
      <c r="H48" s="25">
        <v>16</v>
      </c>
      <c r="I48" s="25">
        <v>16</v>
      </c>
    </row>
    <row r="49" spans="1:27">
      <c r="A49" s="772"/>
      <c r="B49" s="506">
        <v>104035</v>
      </c>
      <c r="C49" s="507" t="s">
        <v>525</v>
      </c>
      <c r="D49" s="26">
        <f t="shared" si="13"/>
        <v>17086064</v>
      </c>
      <c r="E49" s="26">
        <f t="shared" si="13"/>
        <v>17553144</v>
      </c>
      <c r="F49" s="26">
        <f t="shared" si="13"/>
        <v>17417019</v>
      </c>
      <c r="G49" s="28">
        <f t="shared" si="0"/>
        <v>99.22</v>
      </c>
      <c r="H49" s="25">
        <v>2</v>
      </c>
      <c r="I49" s="25">
        <v>2</v>
      </c>
    </row>
    <row r="50" spans="1:27">
      <c r="A50" s="772"/>
      <c r="B50" s="506">
        <v>104036</v>
      </c>
      <c r="C50" s="507" t="s">
        <v>526</v>
      </c>
      <c r="D50" s="26">
        <f t="shared" si="13"/>
        <v>0</v>
      </c>
      <c r="E50" s="26">
        <f t="shared" si="13"/>
        <v>0</v>
      </c>
      <c r="F50" s="26">
        <f t="shared" si="13"/>
        <v>0</v>
      </c>
      <c r="G50" s="28"/>
      <c r="H50" s="25"/>
      <c r="I50" s="25"/>
    </row>
    <row r="51" spans="1:27">
      <c r="A51" s="772"/>
      <c r="B51" s="506">
        <v>104037</v>
      </c>
      <c r="C51" s="507" t="s">
        <v>534</v>
      </c>
      <c r="D51" s="26">
        <f t="shared" si="13"/>
        <v>0</v>
      </c>
      <c r="E51" s="26">
        <f t="shared" si="13"/>
        <v>0</v>
      </c>
      <c r="F51" s="26">
        <f t="shared" si="13"/>
        <v>0</v>
      </c>
      <c r="G51" s="28"/>
      <c r="H51" s="25"/>
      <c r="I51" s="25"/>
    </row>
    <row r="52" spans="1:27">
      <c r="A52" s="772"/>
      <c r="B52" s="508" t="s">
        <v>510</v>
      </c>
      <c r="C52" s="507" t="s">
        <v>533</v>
      </c>
      <c r="D52" s="26">
        <f t="shared" si="13"/>
        <v>0</v>
      </c>
      <c r="E52" s="26">
        <f t="shared" si="13"/>
        <v>0</v>
      </c>
      <c r="F52" s="26">
        <f t="shared" si="13"/>
        <v>0</v>
      </c>
      <c r="G52" s="28"/>
      <c r="H52" s="25"/>
      <c r="I52" s="25"/>
    </row>
    <row r="53" spans="1:27">
      <c r="A53" s="781"/>
      <c r="B53" s="508" t="s">
        <v>508</v>
      </c>
      <c r="C53" s="507" t="s">
        <v>516</v>
      </c>
      <c r="D53" s="26">
        <f t="shared" si="13"/>
        <v>0</v>
      </c>
      <c r="E53" s="26">
        <f t="shared" si="13"/>
        <v>0</v>
      </c>
      <c r="F53" s="26">
        <f t="shared" si="13"/>
        <v>0</v>
      </c>
      <c r="G53" s="28"/>
      <c r="H53" s="25"/>
      <c r="I53" s="25"/>
    </row>
    <row r="54" spans="1:27">
      <c r="A54" s="681"/>
      <c r="B54" s="682"/>
      <c r="C54" s="681"/>
      <c r="D54" s="672"/>
      <c r="E54" s="672"/>
      <c r="F54" s="672"/>
      <c r="G54" s="672"/>
      <c r="H54" s="672"/>
      <c r="I54" s="672"/>
    </row>
    <row r="55" spans="1:27">
      <c r="A55" s="681"/>
      <c r="B55" s="682"/>
      <c r="C55" s="681"/>
      <c r="D55" s="672"/>
      <c r="E55" s="672"/>
      <c r="F55" s="672"/>
      <c r="G55" s="672"/>
      <c r="H55" s="672"/>
      <c r="I55" s="672"/>
    </row>
    <row r="56" spans="1:27" s="685" customFormat="1" ht="15.75">
      <c r="A56" s="761" t="s">
        <v>887</v>
      </c>
      <c r="B56" s="761"/>
      <c r="C56" s="761"/>
      <c r="D56" s="38">
        <f>SUM(D58+D77)</f>
        <v>434264539</v>
      </c>
      <c r="E56" s="38">
        <f>SUM(E58+E77)</f>
        <v>424897218</v>
      </c>
      <c r="F56" s="38">
        <f>SUM(F58+F77)</f>
        <v>403210160</v>
      </c>
      <c r="G56" s="39">
        <f>ROUND(F56/E56*100,2)</f>
        <v>94.9</v>
      </c>
      <c r="H56" s="326"/>
      <c r="I56" s="327"/>
      <c r="J56" s="683"/>
      <c r="K56" s="683"/>
      <c r="L56" s="683"/>
      <c r="M56" s="683"/>
      <c r="N56" s="683"/>
      <c r="O56" s="683"/>
      <c r="P56" s="684"/>
      <c r="Q56" s="684"/>
      <c r="R56" s="684"/>
      <c r="S56" s="684"/>
      <c r="T56" s="684"/>
      <c r="U56" s="684"/>
      <c r="V56" s="684"/>
      <c r="W56" s="684"/>
      <c r="X56" s="684"/>
      <c r="Y56" s="684"/>
      <c r="Z56" s="684"/>
      <c r="AA56" s="684"/>
    </row>
    <row r="57" spans="1:27" s="680" customFormat="1" ht="12.75" customHeight="1">
      <c r="A57" s="764" t="s">
        <v>1</v>
      </c>
      <c r="B57" s="764"/>
      <c r="C57" s="764"/>
      <c r="D57" s="27">
        <f>SUM(D58)</f>
        <v>1317000</v>
      </c>
      <c r="E57" s="27">
        <f>SUM(E58)</f>
        <v>4285584</v>
      </c>
      <c r="F57" s="27">
        <f>SUM(F58)</f>
        <v>4285584</v>
      </c>
      <c r="G57" s="445">
        <f>ROUND(F57/E57*100,2)</f>
        <v>100</v>
      </c>
      <c r="H57" s="326"/>
      <c r="I57" s="327"/>
      <c r="J57" s="678"/>
      <c r="K57" s="678"/>
      <c r="L57" s="678"/>
      <c r="M57" s="678"/>
      <c r="N57" s="678"/>
      <c r="O57" s="678"/>
      <c r="P57" s="679"/>
      <c r="Q57" s="679"/>
      <c r="R57" s="679"/>
      <c r="S57" s="679"/>
      <c r="T57" s="679"/>
      <c r="U57" s="679"/>
      <c r="V57" s="679"/>
      <c r="W57" s="679"/>
      <c r="X57" s="679"/>
      <c r="Y57" s="679"/>
      <c r="Z57" s="679"/>
      <c r="AA57" s="679"/>
    </row>
    <row r="58" spans="1:27" s="686" customFormat="1" ht="12.75" customHeight="1">
      <c r="A58" s="765" t="s">
        <v>527</v>
      </c>
      <c r="B58" s="765"/>
      <c r="C58" s="765"/>
      <c r="D58" s="30">
        <f>SUM(D59:D76)</f>
        <v>1317000</v>
      </c>
      <c r="E58" s="30">
        <f>SUM(E59:E76)</f>
        <v>4285584</v>
      </c>
      <c r="F58" s="30">
        <f>SUM(F59:F76)</f>
        <v>4285584</v>
      </c>
      <c r="G58" s="446">
        <f>ROUND(F58/E58*100,2)</f>
        <v>100</v>
      </c>
      <c r="H58" s="326"/>
      <c r="I58" s="690"/>
      <c r="J58" s="678"/>
      <c r="K58" s="678"/>
      <c r="L58" s="678"/>
      <c r="M58" s="678"/>
      <c r="N58" s="678"/>
      <c r="O58" s="678"/>
      <c r="P58" s="679"/>
      <c r="Q58" s="679"/>
      <c r="R58" s="679"/>
      <c r="S58" s="679"/>
      <c r="T58" s="679"/>
      <c r="U58" s="679"/>
      <c r="V58" s="679"/>
      <c r="W58" s="679"/>
      <c r="X58" s="679"/>
      <c r="Y58" s="679"/>
      <c r="Z58" s="679"/>
      <c r="AA58" s="679"/>
    </row>
    <row r="59" spans="1:27" ht="12.75" customHeight="1">
      <c r="A59" s="766"/>
      <c r="B59" s="508" t="s">
        <v>506</v>
      </c>
      <c r="C59" s="507" t="s">
        <v>512</v>
      </c>
      <c r="D59" s="26"/>
      <c r="E59" s="26"/>
      <c r="F59" s="26"/>
      <c r="G59" s="28"/>
      <c r="H59" s="326"/>
      <c r="I59" s="327"/>
    </row>
    <row r="60" spans="1:27" ht="12.75" customHeight="1">
      <c r="A60" s="766"/>
      <c r="B60" s="508" t="s">
        <v>507</v>
      </c>
      <c r="C60" s="507" t="s">
        <v>517</v>
      </c>
      <c r="D60" s="26"/>
      <c r="E60" s="26"/>
      <c r="F60" s="26"/>
      <c r="G60" s="28"/>
      <c r="H60" s="326"/>
      <c r="I60" s="327"/>
    </row>
    <row r="61" spans="1:27" s="693" customFormat="1" ht="27" customHeight="1">
      <c r="A61" s="766"/>
      <c r="B61" s="509" t="s">
        <v>884</v>
      </c>
      <c r="C61" s="510" t="s">
        <v>1191</v>
      </c>
      <c r="D61" s="443">
        <v>1317000</v>
      </c>
      <c r="E61" s="443">
        <v>4285584</v>
      </c>
      <c r="F61" s="443">
        <v>4285584</v>
      </c>
      <c r="G61" s="28">
        <f>ROUND(F61/E61*100,2)</f>
        <v>100</v>
      </c>
      <c r="H61" s="462"/>
      <c r="I61" s="463"/>
      <c r="J61" s="691"/>
      <c r="K61" s="691"/>
      <c r="L61" s="691"/>
      <c r="M61" s="691"/>
      <c r="N61" s="691"/>
      <c r="O61" s="691"/>
      <c r="P61" s="692"/>
      <c r="Q61" s="692"/>
      <c r="R61" s="692"/>
      <c r="S61" s="692"/>
      <c r="T61" s="692"/>
      <c r="U61" s="692"/>
      <c r="V61" s="692"/>
      <c r="W61" s="692"/>
      <c r="X61" s="692"/>
      <c r="Y61" s="692"/>
      <c r="Z61" s="692"/>
      <c r="AA61" s="692"/>
    </row>
    <row r="62" spans="1:27" s="693" customFormat="1" ht="27" customHeight="1">
      <c r="A62" s="766"/>
      <c r="B62" s="509" t="s">
        <v>961</v>
      </c>
      <c r="C62" s="510" t="s">
        <v>962</v>
      </c>
      <c r="D62" s="443"/>
      <c r="E62" s="443"/>
      <c r="F62" s="443"/>
      <c r="G62" s="28"/>
      <c r="H62" s="462"/>
      <c r="I62" s="463"/>
      <c r="J62" s="691"/>
      <c r="K62" s="691"/>
      <c r="L62" s="691"/>
      <c r="M62" s="691"/>
      <c r="N62" s="691"/>
      <c r="O62" s="691"/>
      <c r="P62" s="692"/>
      <c r="Q62" s="692"/>
      <c r="R62" s="692"/>
      <c r="S62" s="692"/>
      <c r="T62" s="692"/>
      <c r="U62" s="692"/>
      <c r="V62" s="692"/>
      <c r="W62" s="692"/>
      <c r="X62" s="692"/>
      <c r="Y62" s="692"/>
      <c r="Z62" s="692"/>
      <c r="AA62" s="692"/>
    </row>
    <row r="63" spans="1:27" ht="12.75" customHeight="1">
      <c r="A63" s="766"/>
      <c r="B63" s="508" t="s">
        <v>513</v>
      </c>
      <c r="C63" s="507" t="s">
        <v>514</v>
      </c>
      <c r="D63" s="26"/>
      <c r="E63" s="26"/>
      <c r="F63" s="26"/>
      <c r="G63" s="28"/>
      <c r="H63" s="326"/>
      <c r="I63" s="327"/>
    </row>
    <row r="64" spans="1:27" ht="12.75" customHeight="1">
      <c r="A64" s="766"/>
      <c r="B64" s="508" t="s">
        <v>508</v>
      </c>
      <c r="C64" s="507" t="s">
        <v>516</v>
      </c>
      <c r="D64" s="26"/>
      <c r="E64" s="26"/>
      <c r="F64" s="26"/>
      <c r="G64" s="28"/>
      <c r="H64" s="326"/>
      <c r="I64" s="327"/>
    </row>
    <row r="65" spans="1:27" ht="12.75" customHeight="1">
      <c r="A65" s="766"/>
      <c r="B65" s="508" t="s">
        <v>509</v>
      </c>
      <c r="C65" s="507" t="s">
        <v>511</v>
      </c>
      <c r="D65" s="26"/>
      <c r="E65" s="26"/>
      <c r="F65" s="26"/>
      <c r="G65" s="28"/>
      <c r="H65" s="326"/>
      <c r="I65" s="327"/>
    </row>
    <row r="66" spans="1:27" ht="12.75" customHeight="1">
      <c r="A66" s="766"/>
      <c r="B66" s="506">
        <v>107052</v>
      </c>
      <c r="C66" s="507" t="s">
        <v>518</v>
      </c>
      <c r="D66" s="26"/>
      <c r="E66" s="26"/>
      <c r="F66" s="26"/>
      <c r="G66" s="28"/>
      <c r="H66" s="326"/>
      <c r="I66" s="327"/>
    </row>
    <row r="67" spans="1:27" ht="12.75" customHeight="1">
      <c r="A67" s="766"/>
      <c r="B67" s="506">
        <v>107051</v>
      </c>
      <c r="C67" s="507" t="s">
        <v>194</v>
      </c>
      <c r="D67" s="26"/>
      <c r="E67" s="26"/>
      <c r="F67" s="26"/>
      <c r="G67" s="28"/>
      <c r="H67" s="326"/>
      <c r="I67" s="327"/>
    </row>
    <row r="68" spans="1:27" ht="12.75" customHeight="1">
      <c r="A68" s="766"/>
      <c r="B68" s="506">
        <v>107053</v>
      </c>
      <c r="C68" s="507" t="s">
        <v>519</v>
      </c>
      <c r="D68" s="26"/>
      <c r="E68" s="26"/>
      <c r="F68" s="26"/>
      <c r="G68" s="28"/>
      <c r="H68" s="326"/>
      <c r="I68" s="327"/>
    </row>
    <row r="69" spans="1:27" ht="12.75" customHeight="1">
      <c r="A69" s="766"/>
      <c r="B69" s="506">
        <v>102031</v>
      </c>
      <c r="C69" s="507" t="s">
        <v>520</v>
      </c>
      <c r="D69" s="26"/>
      <c r="E69" s="26"/>
      <c r="F69" s="26"/>
      <c r="G69" s="28"/>
      <c r="H69" s="326"/>
      <c r="I69" s="327"/>
    </row>
    <row r="70" spans="1:27" ht="12.75" customHeight="1">
      <c r="A70" s="766"/>
      <c r="B70" s="506">
        <v>107013</v>
      </c>
      <c r="C70" s="507" t="s">
        <v>521</v>
      </c>
      <c r="D70" s="26"/>
      <c r="E70" s="26"/>
      <c r="F70" s="26"/>
      <c r="G70" s="28"/>
      <c r="H70" s="326"/>
      <c r="I70" s="327"/>
    </row>
    <row r="71" spans="1:27" ht="12.75" customHeight="1">
      <c r="A71" s="766"/>
      <c r="B71" s="506">
        <v>104042</v>
      </c>
      <c r="C71" s="507" t="s">
        <v>522</v>
      </c>
      <c r="E71" s="26"/>
      <c r="F71" s="26"/>
      <c r="G71" s="28"/>
      <c r="H71" s="326"/>
      <c r="I71" s="327"/>
    </row>
    <row r="72" spans="1:27" ht="12.75" customHeight="1">
      <c r="A72" s="766"/>
      <c r="B72" s="508" t="s">
        <v>848</v>
      </c>
      <c r="C72" s="507" t="s">
        <v>874</v>
      </c>
      <c r="D72" s="26"/>
      <c r="E72" s="26"/>
      <c r="F72" s="26"/>
      <c r="G72" s="28"/>
      <c r="H72" s="326"/>
      <c r="I72" s="327"/>
    </row>
    <row r="73" spans="1:27" ht="12.75" customHeight="1">
      <c r="A73" s="766"/>
      <c r="B73" s="506">
        <v>104043</v>
      </c>
      <c r="C73" s="507" t="s">
        <v>523</v>
      </c>
      <c r="D73" s="26"/>
      <c r="E73" s="26"/>
      <c r="F73" s="26"/>
      <c r="G73" s="28"/>
      <c r="H73" s="326"/>
      <c r="I73" s="327"/>
    </row>
    <row r="74" spans="1:27" ht="12.75" customHeight="1">
      <c r="A74" s="766"/>
      <c r="B74" s="506">
        <v>104031</v>
      </c>
      <c r="C74" s="507" t="s">
        <v>524</v>
      </c>
      <c r="D74" s="26"/>
      <c r="E74" s="26"/>
      <c r="F74" s="26"/>
      <c r="G74" s="28"/>
      <c r="H74" s="326"/>
      <c r="I74" s="327"/>
    </row>
    <row r="75" spans="1:27" ht="12.75" customHeight="1">
      <c r="A75" s="766"/>
      <c r="B75" s="506">
        <v>104035</v>
      </c>
      <c r="C75" s="507" t="s">
        <v>525</v>
      </c>
      <c r="D75" s="26"/>
      <c r="E75" s="26"/>
      <c r="F75" s="26"/>
      <c r="G75" s="28"/>
      <c r="H75" s="326"/>
      <c r="I75" s="327"/>
    </row>
    <row r="76" spans="1:27" ht="12.75" customHeight="1">
      <c r="A76" s="766"/>
      <c r="B76" s="506">
        <v>104036</v>
      </c>
      <c r="C76" s="507" t="s">
        <v>526</v>
      </c>
      <c r="D76" s="26"/>
      <c r="E76" s="26"/>
      <c r="F76" s="26"/>
      <c r="G76" s="28"/>
      <c r="H76" s="326"/>
      <c r="I76" s="327"/>
    </row>
    <row r="77" spans="1:27" s="680" customFormat="1" ht="12.75" customHeight="1">
      <c r="A77" s="767" t="s">
        <v>528</v>
      </c>
      <c r="B77" s="767"/>
      <c r="C77" s="767"/>
      <c r="D77" s="27">
        <f>SUM(D78+D87+D94)</f>
        <v>432947539</v>
      </c>
      <c r="E77" s="27">
        <f>SUM(E78+E87+E94)</f>
        <v>420611634</v>
      </c>
      <c r="F77" s="27">
        <f>SUM(F78+F87+F94)</f>
        <v>398924576</v>
      </c>
      <c r="G77" s="29">
        <f t="shared" ref="G77:G96" si="14">ROUND(F77/E77*100,2)</f>
        <v>94.84</v>
      </c>
      <c r="H77" s="326"/>
      <c r="I77" s="327"/>
      <c r="J77" s="678"/>
      <c r="K77" s="678"/>
      <c r="L77" s="678"/>
      <c r="M77" s="678"/>
      <c r="N77" s="678"/>
      <c r="O77" s="678"/>
      <c r="P77" s="679"/>
      <c r="Q77" s="679"/>
      <c r="R77" s="679"/>
      <c r="S77" s="679"/>
      <c r="T77" s="679"/>
      <c r="U77" s="679"/>
      <c r="V77" s="679"/>
      <c r="W77" s="679"/>
      <c r="X77" s="679"/>
      <c r="Y77" s="679"/>
      <c r="Z77" s="679"/>
      <c r="AA77" s="679"/>
    </row>
    <row r="78" spans="1:27" s="687" customFormat="1" ht="12.75" customHeight="1">
      <c r="A78" s="768" t="s">
        <v>530</v>
      </c>
      <c r="B78" s="768"/>
      <c r="C78" s="768"/>
      <c r="D78" s="32">
        <f>SUM(D79:D86)</f>
        <v>215380852</v>
      </c>
      <c r="E78" s="32">
        <f>SUM(E79:E86)</f>
        <v>205048832</v>
      </c>
      <c r="F78" s="32">
        <f>SUM(F79:F86)</f>
        <v>192226781</v>
      </c>
      <c r="G78" s="33">
        <f t="shared" si="14"/>
        <v>93.75</v>
      </c>
      <c r="H78" s="326"/>
      <c r="I78" s="327"/>
      <c r="J78" s="678"/>
      <c r="K78" s="678"/>
      <c r="L78" s="678"/>
      <c r="M78" s="678"/>
      <c r="N78" s="678"/>
      <c r="O78" s="678"/>
      <c r="P78" s="679"/>
      <c r="Q78" s="679"/>
      <c r="R78" s="679"/>
      <c r="S78" s="679"/>
      <c r="T78" s="679"/>
      <c r="U78" s="679"/>
      <c r="V78" s="679"/>
      <c r="W78" s="679"/>
      <c r="X78" s="679"/>
      <c r="Y78" s="679"/>
      <c r="Z78" s="679"/>
      <c r="AA78" s="679"/>
    </row>
    <row r="79" spans="1:27" ht="12.75" customHeight="1">
      <c r="A79" s="766"/>
      <c r="B79" s="506">
        <v>107052</v>
      </c>
      <c r="C79" s="507" t="s">
        <v>518</v>
      </c>
      <c r="D79" s="26">
        <v>155485099</v>
      </c>
      <c r="E79" s="26">
        <v>148408225</v>
      </c>
      <c r="F79" s="467">
        <v>136640749</v>
      </c>
      <c r="G79" s="28">
        <f t="shared" si="14"/>
        <v>92.07</v>
      </c>
      <c r="H79" s="326"/>
      <c r="I79" s="327"/>
    </row>
    <row r="80" spans="1:27" ht="12.75" customHeight="1">
      <c r="A80" s="766"/>
      <c r="B80" s="506">
        <v>107053</v>
      </c>
      <c r="C80" s="507" t="s">
        <v>519</v>
      </c>
      <c r="D80" s="26">
        <v>4200000</v>
      </c>
      <c r="E80" s="26">
        <v>4149441</v>
      </c>
      <c r="F80" s="26">
        <v>4116924</v>
      </c>
      <c r="G80" s="28">
        <f t="shared" si="14"/>
        <v>99.22</v>
      </c>
      <c r="H80" s="326"/>
      <c r="I80" s="327"/>
    </row>
    <row r="81" spans="1:27" ht="12.75" customHeight="1">
      <c r="A81" s="766"/>
      <c r="B81" s="506">
        <v>107051</v>
      </c>
      <c r="C81" s="507" t="s">
        <v>194</v>
      </c>
      <c r="D81" s="26">
        <v>5406254</v>
      </c>
      <c r="E81" s="26">
        <v>5452908</v>
      </c>
      <c r="F81" s="26">
        <v>5287322</v>
      </c>
      <c r="G81" s="28">
        <f t="shared" si="14"/>
        <v>96.96</v>
      </c>
      <c r="H81" s="326"/>
      <c r="I81" s="327"/>
    </row>
    <row r="82" spans="1:27" ht="12.75" customHeight="1">
      <c r="A82" s="766"/>
      <c r="B82" s="506">
        <v>102031</v>
      </c>
      <c r="C82" s="507" t="s">
        <v>520</v>
      </c>
      <c r="D82" s="26">
        <v>12900761</v>
      </c>
      <c r="E82" s="26">
        <v>11946081</v>
      </c>
      <c r="F82" s="26">
        <v>11889022</v>
      </c>
      <c r="G82" s="28">
        <f t="shared" si="14"/>
        <v>99.52</v>
      </c>
      <c r="H82" s="326"/>
      <c r="I82" s="327"/>
    </row>
    <row r="83" spans="1:27" ht="12.75" customHeight="1">
      <c r="A83" s="766"/>
      <c r="B83" s="506">
        <v>102032</v>
      </c>
      <c r="C83" s="507" t="s">
        <v>883</v>
      </c>
      <c r="D83" s="26">
        <v>9920578</v>
      </c>
      <c r="E83" s="26">
        <v>9626271</v>
      </c>
      <c r="F83" s="26">
        <v>9567063</v>
      </c>
      <c r="G83" s="28">
        <f t="shared" si="14"/>
        <v>99.38</v>
      </c>
      <c r="H83" s="326"/>
      <c r="I83" s="327"/>
    </row>
    <row r="84" spans="1:27" ht="12.75" customHeight="1">
      <c r="A84" s="766"/>
      <c r="B84" s="506">
        <v>107013</v>
      </c>
      <c r="C84" s="507" t="s">
        <v>532</v>
      </c>
      <c r="D84" s="26">
        <v>19641280</v>
      </c>
      <c r="E84" s="26">
        <v>17646125</v>
      </c>
      <c r="F84" s="26">
        <v>16898192</v>
      </c>
      <c r="G84" s="28">
        <f t="shared" si="14"/>
        <v>95.76</v>
      </c>
      <c r="H84" s="326"/>
      <c r="I84" s="327"/>
    </row>
    <row r="85" spans="1:27" ht="12.75" customHeight="1">
      <c r="A85" s="766"/>
      <c r="B85" s="508" t="s">
        <v>510</v>
      </c>
      <c r="C85" s="507" t="s">
        <v>533</v>
      </c>
      <c r="D85" s="26">
        <v>7826880</v>
      </c>
      <c r="E85" s="26">
        <v>7819781</v>
      </c>
      <c r="F85" s="26">
        <v>7827509</v>
      </c>
      <c r="G85" s="28">
        <f t="shared" si="14"/>
        <v>100.1</v>
      </c>
      <c r="H85" s="326"/>
      <c r="I85" s="327"/>
    </row>
    <row r="86" spans="1:27" ht="12.75" customHeight="1">
      <c r="A86" s="766"/>
      <c r="B86" s="508" t="s">
        <v>508</v>
      </c>
      <c r="C86" s="507" t="s">
        <v>516</v>
      </c>
      <c r="D86" s="26"/>
      <c r="E86" s="26"/>
      <c r="F86" s="26"/>
      <c r="G86" s="28"/>
      <c r="H86" s="326"/>
      <c r="I86" s="327"/>
    </row>
    <row r="87" spans="1:27" s="688" customFormat="1" ht="12.75" customHeight="1">
      <c r="A87" s="769" t="s">
        <v>529</v>
      </c>
      <c r="B87" s="769"/>
      <c r="C87" s="769"/>
      <c r="D87" s="36">
        <f>SUM(D88:D93)</f>
        <v>144678797</v>
      </c>
      <c r="E87" s="36">
        <f>SUM(E88:E93)</f>
        <v>142674954</v>
      </c>
      <c r="F87" s="36">
        <f>SUM(F88:F93)</f>
        <v>134901139</v>
      </c>
      <c r="G87" s="37">
        <f t="shared" si="14"/>
        <v>94.55</v>
      </c>
      <c r="H87" s="326"/>
      <c r="I87" s="327"/>
      <c r="J87" s="678"/>
      <c r="K87" s="678"/>
      <c r="L87" s="678"/>
      <c r="M87" s="678"/>
      <c r="N87" s="678"/>
      <c r="O87" s="678"/>
      <c r="P87" s="679"/>
      <c r="Q87" s="679"/>
      <c r="R87" s="679"/>
      <c r="S87" s="679"/>
      <c r="T87" s="679"/>
      <c r="U87" s="679"/>
      <c r="V87" s="679"/>
      <c r="W87" s="679"/>
      <c r="X87" s="679"/>
      <c r="Y87" s="679"/>
      <c r="Z87" s="679"/>
      <c r="AA87" s="679"/>
    </row>
    <row r="88" spans="1:27" ht="12.75" customHeight="1">
      <c r="A88" s="766"/>
      <c r="B88" s="506">
        <v>104042</v>
      </c>
      <c r="C88" s="507" t="s">
        <v>522</v>
      </c>
      <c r="D88" s="26">
        <v>83103119</v>
      </c>
      <c r="E88" s="26">
        <v>83329026</v>
      </c>
      <c r="F88" s="26">
        <v>80515885</v>
      </c>
      <c r="G88" s="28">
        <f t="shared" si="14"/>
        <v>96.62</v>
      </c>
      <c r="H88" s="326"/>
      <c r="I88" s="327"/>
    </row>
    <row r="89" spans="1:27" ht="12.75" customHeight="1">
      <c r="A89" s="766"/>
      <c r="B89" s="506">
        <v>104043</v>
      </c>
      <c r="C89" s="507" t="s">
        <v>523</v>
      </c>
      <c r="D89" s="26">
        <v>45261134</v>
      </c>
      <c r="E89" s="26">
        <v>42206582</v>
      </c>
      <c r="F89" s="26">
        <v>38027897</v>
      </c>
      <c r="G89" s="28">
        <f t="shared" si="14"/>
        <v>90.1</v>
      </c>
      <c r="H89" s="326"/>
      <c r="I89" s="327"/>
    </row>
    <row r="90" spans="1:27" ht="30" customHeight="1">
      <c r="A90" s="766"/>
      <c r="B90" s="506">
        <v>104042</v>
      </c>
      <c r="C90" s="510" t="s">
        <v>1191</v>
      </c>
      <c r="D90" s="26">
        <v>0</v>
      </c>
      <c r="E90" s="26">
        <v>714200</v>
      </c>
      <c r="F90" s="26">
        <v>714200</v>
      </c>
      <c r="G90" s="28">
        <f t="shared" si="14"/>
        <v>100</v>
      </c>
      <c r="H90" s="326"/>
      <c r="I90" s="327"/>
    </row>
    <row r="91" spans="1:27" ht="12.75" customHeight="1">
      <c r="A91" s="766"/>
      <c r="B91" s="506">
        <v>104043</v>
      </c>
      <c r="C91" s="507" t="s">
        <v>882</v>
      </c>
      <c r="D91" s="26">
        <v>16314544</v>
      </c>
      <c r="E91" s="26">
        <v>16425146</v>
      </c>
      <c r="F91" s="26">
        <v>15643157</v>
      </c>
      <c r="G91" s="28">
        <f t="shared" si="14"/>
        <v>95.24</v>
      </c>
      <c r="H91" s="326"/>
      <c r="I91" s="327"/>
    </row>
    <row r="92" spans="1:27" ht="12.75" customHeight="1">
      <c r="A92" s="766"/>
      <c r="B92" s="508" t="s">
        <v>510</v>
      </c>
      <c r="C92" s="507" t="s">
        <v>533</v>
      </c>
      <c r="D92" s="26"/>
      <c r="E92" s="26"/>
      <c r="F92" s="26"/>
      <c r="G92" s="28"/>
      <c r="H92" s="326"/>
      <c r="I92" s="327"/>
    </row>
    <row r="93" spans="1:27" ht="12.75" customHeight="1">
      <c r="A93" s="766"/>
      <c r="B93" s="508" t="s">
        <v>508</v>
      </c>
      <c r="C93" s="507" t="s">
        <v>516</v>
      </c>
      <c r="D93" s="26"/>
      <c r="E93" s="26"/>
      <c r="F93" s="26"/>
      <c r="G93" s="28"/>
      <c r="H93" s="326"/>
      <c r="I93" s="327"/>
    </row>
    <row r="94" spans="1:27" s="689" customFormat="1" ht="12.75" customHeight="1">
      <c r="A94" s="770" t="s">
        <v>531</v>
      </c>
      <c r="B94" s="770"/>
      <c r="C94" s="770"/>
      <c r="D94" s="34">
        <f>SUM(D95:D100)</f>
        <v>72887890</v>
      </c>
      <c r="E94" s="34">
        <f>SUM(E95:E100)</f>
        <v>72887848</v>
      </c>
      <c r="F94" s="34">
        <f>SUM(F95:F100)</f>
        <v>71796656</v>
      </c>
      <c r="G94" s="35">
        <f t="shared" si="14"/>
        <v>98.5</v>
      </c>
      <c r="H94" s="328"/>
      <c r="I94" s="327"/>
      <c r="J94" s="678"/>
      <c r="K94" s="678"/>
      <c r="L94" s="678"/>
      <c r="M94" s="678"/>
      <c r="N94" s="678"/>
      <c r="O94" s="678"/>
      <c r="P94" s="679"/>
      <c r="Q94" s="679"/>
      <c r="R94" s="679"/>
      <c r="S94" s="679"/>
      <c r="T94" s="679"/>
      <c r="U94" s="679"/>
      <c r="V94" s="679"/>
      <c r="W94" s="679"/>
      <c r="X94" s="679"/>
      <c r="Y94" s="679"/>
      <c r="Z94" s="679"/>
      <c r="AA94" s="679"/>
    </row>
    <row r="95" spans="1:27" ht="12.75" customHeight="1">
      <c r="A95" s="766"/>
      <c r="B95" s="506">
        <v>104031</v>
      </c>
      <c r="C95" s="507" t="s">
        <v>524</v>
      </c>
      <c r="D95" s="26">
        <v>66847274</v>
      </c>
      <c r="E95" s="26">
        <v>66493752</v>
      </c>
      <c r="F95" s="26">
        <v>65402560</v>
      </c>
      <c r="G95" s="28">
        <f t="shared" si="14"/>
        <v>98.36</v>
      </c>
      <c r="H95" s="326"/>
      <c r="I95" s="327"/>
    </row>
    <row r="96" spans="1:27" ht="12.75" customHeight="1">
      <c r="A96" s="766"/>
      <c r="B96" s="506">
        <v>104035</v>
      </c>
      <c r="C96" s="507" t="s">
        <v>525</v>
      </c>
      <c r="D96" s="26">
        <v>6040616</v>
      </c>
      <c r="E96" s="26">
        <v>6394096</v>
      </c>
      <c r="F96" s="26">
        <v>6394096</v>
      </c>
      <c r="G96" s="28">
        <f t="shared" si="14"/>
        <v>100</v>
      </c>
      <c r="H96" s="326"/>
      <c r="I96" s="327"/>
    </row>
    <row r="97" spans="1:27" ht="12.75" customHeight="1">
      <c r="A97" s="766"/>
      <c r="B97" s="506">
        <v>104036</v>
      </c>
      <c r="C97" s="507" t="s">
        <v>526</v>
      </c>
      <c r="D97" s="26"/>
      <c r="E97" s="26"/>
      <c r="F97" s="26"/>
      <c r="G97" s="28"/>
      <c r="H97" s="326"/>
      <c r="I97" s="327"/>
    </row>
    <row r="98" spans="1:27" ht="12.75" customHeight="1">
      <c r="A98" s="766"/>
      <c r="B98" s="506">
        <v>104037</v>
      </c>
      <c r="C98" s="507" t="s">
        <v>534</v>
      </c>
      <c r="D98" s="26"/>
      <c r="E98" s="26"/>
      <c r="F98" s="26"/>
      <c r="G98" s="28"/>
      <c r="H98" s="326"/>
      <c r="I98" s="327"/>
    </row>
    <row r="99" spans="1:27" ht="12.75" customHeight="1">
      <c r="A99" s="766"/>
      <c r="B99" s="508" t="s">
        <v>510</v>
      </c>
      <c r="C99" s="507" t="s">
        <v>533</v>
      </c>
      <c r="D99" s="26"/>
      <c r="E99" s="26"/>
      <c r="F99" s="26"/>
      <c r="G99" s="28"/>
      <c r="H99" s="326"/>
      <c r="I99" s="327"/>
    </row>
    <row r="100" spans="1:27" ht="12.75" customHeight="1">
      <c r="A100" s="766"/>
      <c r="B100" s="508" t="s">
        <v>508</v>
      </c>
      <c r="C100" s="507" t="s">
        <v>516</v>
      </c>
      <c r="D100" s="26"/>
      <c r="E100" s="26"/>
      <c r="F100" s="26"/>
      <c r="G100" s="28"/>
      <c r="H100" s="326"/>
      <c r="I100" s="327"/>
    </row>
    <row r="101" spans="1:27">
      <c r="A101" s="773"/>
      <c r="B101" s="773"/>
      <c r="C101" s="773"/>
      <c r="D101" s="773"/>
      <c r="E101" s="773"/>
      <c r="F101" s="773"/>
      <c r="G101" s="773"/>
      <c r="H101" s="773"/>
      <c r="I101" s="773"/>
    </row>
    <row r="102" spans="1:27">
      <c r="A102" s="773"/>
      <c r="B102" s="773"/>
      <c r="C102" s="773"/>
      <c r="D102" s="773"/>
      <c r="E102" s="773"/>
      <c r="F102" s="773"/>
      <c r="G102" s="773"/>
      <c r="H102" s="773"/>
      <c r="I102" s="773"/>
    </row>
    <row r="103" spans="1:27" s="685" customFormat="1" ht="15.75">
      <c r="A103" s="761" t="s">
        <v>886</v>
      </c>
      <c r="B103" s="761"/>
      <c r="C103" s="761"/>
      <c r="D103" s="38">
        <f>SUM(D105+D124)</f>
        <v>67154725</v>
      </c>
      <c r="E103" s="38">
        <f>SUM(E105+E124)</f>
        <v>69832348</v>
      </c>
      <c r="F103" s="38">
        <f>SUM(F105+F124)</f>
        <v>66490109</v>
      </c>
      <c r="G103" s="39">
        <f>ROUND(F103/E103*100,2)</f>
        <v>95.21</v>
      </c>
      <c r="H103" s="762"/>
      <c r="I103" s="763"/>
      <c r="J103" s="683"/>
      <c r="K103" s="683"/>
      <c r="L103" s="683"/>
      <c r="M103" s="683"/>
      <c r="N103" s="683"/>
      <c r="O103" s="683"/>
      <c r="P103" s="684"/>
      <c r="Q103" s="684"/>
      <c r="R103" s="684"/>
      <c r="S103" s="684"/>
      <c r="T103" s="684"/>
      <c r="U103" s="684"/>
      <c r="V103" s="684"/>
      <c r="W103" s="684"/>
      <c r="X103" s="684"/>
      <c r="Y103" s="684"/>
      <c r="Z103" s="684"/>
      <c r="AA103" s="684"/>
    </row>
    <row r="104" spans="1:27" s="680" customFormat="1">
      <c r="A104" s="764" t="s">
        <v>1</v>
      </c>
      <c r="B104" s="764"/>
      <c r="C104" s="764"/>
      <c r="D104" s="27">
        <f>SUM(D105)</f>
        <v>31500</v>
      </c>
      <c r="E104" s="27">
        <f>SUM(E105)</f>
        <v>471520</v>
      </c>
      <c r="F104" s="27">
        <f>SUM(F105)</f>
        <v>471520</v>
      </c>
      <c r="G104" s="29">
        <f>ROUND(F104/E104*100,2)</f>
        <v>100</v>
      </c>
      <c r="H104" s="762"/>
      <c r="I104" s="763"/>
      <c r="J104" s="678"/>
      <c r="K104" s="678"/>
      <c r="L104" s="678"/>
      <c r="M104" s="678"/>
      <c r="N104" s="678"/>
      <c r="O104" s="678"/>
      <c r="P104" s="679"/>
      <c r="Q104" s="679"/>
      <c r="R104" s="679"/>
      <c r="S104" s="679"/>
      <c r="T104" s="679"/>
      <c r="U104" s="679"/>
      <c r="V104" s="679"/>
      <c r="W104" s="679"/>
      <c r="X104" s="679"/>
      <c r="Y104" s="679"/>
      <c r="Z104" s="679"/>
      <c r="AA104" s="679"/>
    </row>
    <row r="105" spans="1:27" s="686" customFormat="1">
      <c r="A105" s="765" t="s">
        <v>527</v>
      </c>
      <c r="B105" s="765"/>
      <c r="C105" s="765"/>
      <c r="D105" s="30">
        <f>SUM(D106:D123)</f>
        <v>31500</v>
      </c>
      <c r="E105" s="30">
        <f>SUM(E106:E123)</f>
        <v>471520</v>
      </c>
      <c r="F105" s="30">
        <f>SUM(F106:F123)</f>
        <v>471520</v>
      </c>
      <c r="G105" s="447">
        <f>ROUND(F105/E105*100,2)</f>
        <v>100</v>
      </c>
      <c r="H105" s="762"/>
      <c r="I105" s="763"/>
      <c r="J105" s="678"/>
      <c r="K105" s="678"/>
      <c r="L105" s="678"/>
      <c r="M105" s="678"/>
      <c r="N105" s="678"/>
      <c r="O105" s="678"/>
      <c r="P105" s="679"/>
      <c r="Q105" s="679"/>
      <c r="R105" s="679"/>
      <c r="S105" s="679"/>
      <c r="T105" s="679"/>
      <c r="U105" s="679"/>
      <c r="V105" s="679"/>
      <c r="W105" s="679"/>
      <c r="X105" s="679"/>
      <c r="Y105" s="679"/>
      <c r="Z105" s="679"/>
      <c r="AA105" s="679"/>
    </row>
    <row r="106" spans="1:27">
      <c r="A106" s="766"/>
      <c r="B106" s="508" t="s">
        <v>506</v>
      </c>
      <c r="C106" s="507" t="s">
        <v>512</v>
      </c>
      <c r="D106" s="26"/>
      <c r="E106" s="26"/>
      <c r="F106" s="26"/>
      <c r="G106" s="28"/>
      <c r="H106" s="762"/>
      <c r="I106" s="763"/>
    </row>
    <row r="107" spans="1:27">
      <c r="A107" s="766"/>
      <c r="B107" s="508" t="s">
        <v>507</v>
      </c>
      <c r="C107" s="507" t="s">
        <v>517</v>
      </c>
      <c r="D107" s="26"/>
      <c r="E107" s="26"/>
      <c r="F107" s="26"/>
      <c r="G107" s="28"/>
      <c r="H107" s="762"/>
      <c r="I107" s="763"/>
    </row>
    <row r="108" spans="1:27" s="693" customFormat="1" ht="25.5">
      <c r="A108" s="766"/>
      <c r="B108" s="509" t="s">
        <v>884</v>
      </c>
      <c r="C108" s="510" t="s">
        <v>1191</v>
      </c>
      <c r="D108" s="443">
        <v>31500</v>
      </c>
      <c r="E108" s="443">
        <v>471520</v>
      </c>
      <c r="F108" s="443">
        <v>471520</v>
      </c>
      <c r="G108" s="461">
        <f>ROUND(F108/E108*100,2)</f>
        <v>100</v>
      </c>
      <c r="H108" s="762"/>
      <c r="I108" s="763"/>
      <c r="J108" s="691"/>
      <c r="K108" s="691"/>
      <c r="L108" s="691"/>
      <c r="M108" s="691"/>
      <c r="N108" s="691"/>
      <c r="O108" s="691"/>
      <c r="P108" s="692"/>
      <c r="Q108" s="692"/>
      <c r="R108" s="692"/>
      <c r="S108" s="692"/>
      <c r="T108" s="692"/>
      <c r="U108" s="692"/>
      <c r="V108" s="692"/>
      <c r="W108" s="692"/>
      <c r="X108" s="692"/>
      <c r="Y108" s="692"/>
      <c r="Z108" s="692"/>
      <c r="AA108" s="692"/>
    </row>
    <row r="109" spans="1:27" s="693" customFormat="1" ht="25.5">
      <c r="A109" s="766"/>
      <c r="B109" s="509" t="s">
        <v>961</v>
      </c>
      <c r="C109" s="510" t="s">
        <v>962</v>
      </c>
      <c r="D109" s="443"/>
      <c r="E109" s="443"/>
      <c r="F109" s="443"/>
      <c r="G109" s="461"/>
      <c r="H109" s="762"/>
      <c r="I109" s="763"/>
      <c r="J109" s="691"/>
      <c r="K109" s="691"/>
      <c r="L109" s="691"/>
      <c r="M109" s="691"/>
      <c r="N109" s="691"/>
      <c r="O109" s="691"/>
      <c r="P109" s="692"/>
      <c r="Q109" s="692"/>
      <c r="R109" s="692"/>
      <c r="S109" s="692"/>
      <c r="T109" s="692"/>
      <c r="U109" s="692"/>
      <c r="V109" s="692"/>
      <c r="W109" s="692"/>
      <c r="X109" s="692"/>
      <c r="Y109" s="692"/>
      <c r="Z109" s="692"/>
      <c r="AA109" s="692"/>
    </row>
    <row r="110" spans="1:27">
      <c r="A110" s="766"/>
      <c r="B110" s="508" t="s">
        <v>513</v>
      </c>
      <c r="C110" s="507" t="s">
        <v>514</v>
      </c>
      <c r="D110" s="26"/>
      <c r="E110" s="26"/>
      <c r="F110" s="26"/>
      <c r="G110" s="28"/>
      <c r="H110" s="762"/>
      <c r="I110" s="763"/>
    </row>
    <row r="111" spans="1:27">
      <c r="A111" s="766"/>
      <c r="B111" s="508" t="s">
        <v>508</v>
      </c>
      <c r="C111" s="507" t="s">
        <v>516</v>
      </c>
      <c r="D111" s="26"/>
      <c r="E111" s="26"/>
      <c r="F111" s="26"/>
      <c r="G111" s="28"/>
      <c r="H111" s="762"/>
      <c r="I111" s="763"/>
    </row>
    <row r="112" spans="1:27">
      <c r="A112" s="766"/>
      <c r="B112" s="508" t="s">
        <v>509</v>
      </c>
      <c r="C112" s="507" t="s">
        <v>511</v>
      </c>
      <c r="D112" s="26"/>
      <c r="E112" s="26"/>
      <c r="F112" s="26"/>
      <c r="G112" s="28"/>
      <c r="H112" s="762"/>
      <c r="I112" s="763"/>
    </row>
    <row r="113" spans="1:27">
      <c r="A113" s="766"/>
      <c r="B113" s="506">
        <v>107052</v>
      </c>
      <c r="C113" s="507" t="s">
        <v>518</v>
      </c>
      <c r="D113" s="26"/>
      <c r="E113" s="26"/>
      <c r="F113" s="26"/>
      <c r="G113" s="28"/>
      <c r="H113" s="762"/>
      <c r="I113" s="763"/>
    </row>
    <row r="114" spans="1:27">
      <c r="A114" s="766"/>
      <c r="B114" s="506">
        <v>107051</v>
      </c>
      <c r="C114" s="507" t="s">
        <v>194</v>
      </c>
      <c r="D114" s="26"/>
      <c r="E114" s="26"/>
      <c r="F114" s="26"/>
      <c r="G114" s="28"/>
      <c r="H114" s="762"/>
      <c r="I114" s="763"/>
    </row>
    <row r="115" spans="1:27">
      <c r="A115" s="766"/>
      <c r="B115" s="506">
        <v>107053</v>
      </c>
      <c r="C115" s="507" t="s">
        <v>519</v>
      </c>
      <c r="D115" s="26"/>
      <c r="E115" s="26"/>
      <c r="F115" s="26"/>
      <c r="G115" s="28"/>
      <c r="H115" s="762"/>
      <c r="I115" s="763"/>
    </row>
    <row r="116" spans="1:27">
      <c r="A116" s="766"/>
      <c r="B116" s="506">
        <v>102031</v>
      </c>
      <c r="C116" s="507" t="s">
        <v>520</v>
      </c>
      <c r="D116" s="26"/>
      <c r="E116" s="26"/>
      <c r="F116" s="26"/>
      <c r="G116" s="28"/>
      <c r="H116" s="762"/>
      <c r="I116" s="763"/>
    </row>
    <row r="117" spans="1:27">
      <c r="A117" s="766"/>
      <c r="B117" s="506">
        <v>107013</v>
      </c>
      <c r="C117" s="507" t="s">
        <v>521</v>
      </c>
      <c r="D117" s="26"/>
      <c r="E117" s="26"/>
      <c r="F117" s="26"/>
      <c r="G117" s="28"/>
      <c r="H117" s="762"/>
      <c r="I117" s="763"/>
    </row>
    <row r="118" spans="1:27">
      <c r="A118" s="766"/>
      <c r="B118" s="506">
        <v>104042</v>
      </c>
      <c r="C118" s="507" t="s">
        <v>522</v>
      </c>
      <c r="E118" s="26"/>
      <c r="F118" s="26"/>
      <c r="G118" s="28"/>
      <c r="H118" s="762"/>
      <c r="I118" s="763"/>
    </row>
    <row r="119" spans="1:27">
      <c r="A119" s="766"/>
      <c r="B119" s="508" t="s">
        <v>848</v>
      </c>
      <c r="C119" s="507" t="s">
        <v>874</v>
      </c>
      <c r="D119" s="26"/>
      <c r="E119" s="26"/>
      <c r="F119" s="26"/>
      <c r="G119" s="28"/>
      <c r="H119" s="762"/>
      <c r="I119" s="763"/>
    </row>
    <row r="120" spans="1:27">
      <c r="A120" s="766"/>
      <c r="B120" s="506">
        <v>104043</v>
      </c>
      <c r="C120" s="507" t="s">
        <v>523</v>
      </c>
      <c r="D120" s="26"/>
      <c r="E120" s="26"/>
      <c r="F120" s="26"/>
      <c r="G120" s="28"/>
      <c r="H120" s="762"/>
      <c r="I120" s="763"/>
    </row>
    <row r="121" spans="1:27">
      <c r="A121" s="766"/>
      <c r="B121" s="506">
        <v>104031</v>
      </c>
      <c r="C121" s="507" t="s">
        <v>524</v>
      </c>
      <c r="D121" s="26"/>
      <c r="E121" s="26"/>
      <c r="F121" s="26"/>
      <c r="G121" s="28"/>
      <c r="H121" s="762"/>
      <c r="I121" s="763"/>
    </row>
    <row r="122" spans="1:27">
      <c r="A122" s="766"/>
      <c r="B122" s="506">
        <v>104035</v>
      </c>
      <c r="C122" s="507" t="s">
        <v>525</v>
      </c>
      <c r="D122" s="26"/>
      <c r="E122" s="26"/>
      <c r="F122" s="26"/>
      <c r="G122" s="28"/>
      <c r="H122" s="762"/>
      <c r="I122" s="763"/>
    </row>
    <row r="123" spans="1:27">
      <c r="A123" s="766"/>
      <c r="B123" s="506">
        <v>104036</v>
      </c>
      <c r="C123" s="507" t="s">
        <v>526</v>
      </c>
      <c r="D123" s="26"/>
      <c r="E123" s="26"/>
      <c r="F123" s="26"/>
      <c r="G123" s="28"/>
      <c r="H123" s="762"/>
      <c r="I123" s="763"/>
    </row>
    <row r="124" spans="1:27" s="680" customFormat="1">
      <c r="A124" s="767" t="s">
        <v>528</v>
      </c>
      <c r="B124" s="767"/>
      <c r="C124" s="767"/>
      <c r="D124" s="27">
        <f>SUM(D125+D134+D141)</f>
        <v>67123225</v>
      </c>
      <c r="E124" s="27">
        <f>SUM(E125+E134+E141)</f>
        <v>69360828</v>
      </c>
      <c r="F124" s="27">
        <f>SUM(F125+F134+F141)</f>
        <v>66018589</v>
      </c>
      <c r="G124" s="29">
        <f t="shared" ref="G124:G143" si="15">ROUND(F124/E124*100,2)</f>
        <v>95.18</v>
      </c>
      <c r="H124" s="762"/>
      <c r="I124" s="763"/>
      <c r="J124" s="678"/>
      <c r="K124" s="678"/>
      <c r="L124" s="678"/>
      <c r="M124" s="678"/>
      <c r="N124" s="678"/>
      <c r="O124" s="678"/>
      <c r="P124" s="679"/>
      <c r="Q124" s="679"/>
      <c r="R124" s="679"/>
      <c r="S124" s="679"/>
      <c r="T124" s="679"/>
      <c r="U124" s="679"/>
      <c r="V124" s="679"/>
      <c r="W124" s="679"/>
      <c r="X124" s="679"/>
      <c r="Y124" s="679"/>
      <c r="Z124" s="679"/>
      <c r="AA124" s="679"/>
    </row>
    <row r="125" spans="1:27" s="687" customFormat="1">
      <c r="A125" s="768" t="s">
        <v>530</v>
      </c>
      <c r="B125" s="768"/>
      <c r="C125" s="768"/>
      <c r="D125" s="32">
        <f>SUM(D126:D132)</f>
        <v>32816915</v>
      </c>
      <c r="E125" s="32">
        <f>SUM(E126:E132)</f>
        <v>31456790</v>
      </c>
      <c r="F125" s="32">
        <f>SUM(F126:F132)</f>
        <v>29231986</v>
      </c>
      <c r="G125" s="33">
        <f t="shared" si="15"/>
        <v>92.93</v>
      </c>
      <c r="H125" s="762"/>
      <c r="I125" s="763"/>
      <c r="J125" s="678"/>
      <c r="K125" s="678"/>
      <c r="L125" s="678"/>
      <c r="M125" s="678"/>
      <c r="N125" s="678"/>
      <c r="O125" s="678"/>
      <c r="P125" s="679"/>
      <c r="Q125" s="679"/>
      <c r="R125" s="679"/>
      <c r="S125" s="679"/>
      <c r="T125" s="679"/>
      <c r="U125" s="679"/>
      <c r="V125" s="679"/>
      <c r="W125" s="679"/>
      <c r="X125" s="679"/>
      <c r="Y125" s="679"/>
      <c r="Z125" s="679"/>
      <c r="AA125" s="679"/>
    </row>
    <row r="126" spans="1:27">
      <c r="A126" s="766"/>
      <c r="B126" s="506">
        <v>107052</v>
      </c>
      <c r="C126" s="507" t="s">
        <v>518</v>
      </c>
      <c r="D126" s="26">
        <v>24080810</v>
      </c>
      <c r="E126" s="26">
        <v>23305231</v>
      </c>
      <c r="F126" s="26">
        <v>21224111</v>
      </c>
      <c r="G126" s="28">
        <f t="shared" si="15"/>
        <v>91.07</v>
      </c>
      <c r="H126" s="762"/>
      <c r="I126" s="763"/>
    </row>
    <row r="127" spans="1:27">
      <c r="A127" s="766"/>
      <c r="B127" s="506">
        <v>107053</v>
      </c>
      <c r="C127" s="507" t="s">
        <v>519</v>
      </c>
      <c r="D127" s="26">
        <v>653736</v>
      </c>
      <c r="E127" s="26">
        <v>632802</v>
      </c>
      <c r="F127" s="26">
        <v>566221</v>
      </c>
      <c r="G127" s="28">
        <f t="shared" si="15"/>
        <v>89.48</v>
      </c>
      <c r="H127" s="762"/>
      <c r="I127" s="763"/>
    </row>
    <row r="128" spans="1:27">
      <c r="A128" s="766"/>
      <c r="B128" s="506">
        <v>107051</v>
      </c>
      <c r="C128" s="507" t="s">
        <v>194</v>
      </c>
      <c r="D128" s="26">
        <v>837374</v>
      </c>
      <c r="E128" s="26">
        <v>841960</v>
      </c>
      <c r="F128" s="26">
        <v>824280</v>
      </c>
      <c r="G128" s="28">
        <f t="shared" si="15"/>
        <v>97.9</v>
      </c>
      <c r="H128" s="762"/>
      <c r="I128" s="763"/>
    </row>
    <row r="129" spans="1:27">
      <c r="A129" s="766"/>
      <c r="B129" s="506">
        <v>102031</v>
      </c>
      <c r="C129" s="507" t="s">
        <v>520</v>
      </c>
      <c r="D129" s="26">
        <v>2044711</v>
      </c>
      <c r="E129" s="26">
        <v>1907461</v>
      </c>
      <c r="F129" s="26">
        <v>1907461</v>
      </c>
      <c r="G129" s="28">
        <f t="shared" si="15"/>
        <v>100</v>
      </c>
      <c r="H129" s="762"/>
      <c r="I129" s="763"/>
    </row>
    <row r="130" spans="1:27">
      <c r="A130" s="766"/>
      <c r="B130" s="506">
        <v>102032</v>
      </c>
      <c r="C130" s="507" t="s">
        <v>883</v>
      </c>
      <c r="D130" s="26">
        <v>1559973</v>
      </c>
      <c r="E130" s="26">
        <v>1510657</v>
      </c>
      <c r="F130" s="26">
        <v>1451234</v>
      </c>
      <c r="G130" s="28">
        <f t="shared" si="15"/>
        <v>96.07</v>
      </c>
      <c r="H130" s="762"/>
      <c r="I130" s="763"/>
    </row>
    <row r="131" spans="1:27">
      <c r="A131" s="766"/>
      <c r="B131" s="506">
        <v>107013</v>
      </c>
      <c r="C131" s="507" t="s">
        <v>532</v>
      </c>
      <c r="D131" s="26">
        <v>3033727</v>
      </c>
      <c r="E131" s="26">
        <v>2644280</v>
      </c>
      <c r="F131" s="26">
        <v>2644280</v>
      </c>
      <c r="G131" s="28">
        <f t="shared" si="15"/>
        <v>100</v>
      </c>
      <c r="H131" s="762"/>
      <c r="I131" s="763"/>
    </row>
    <row r="132" spans="1:27">
      <c r="A132" s="766"/>
      <c r="B132" s="508" t="s">
        <v>510</v>
      </c>
      <c r="C132" s="507" t="s">
        <v>533</v>
      </c>
      <c r="D132" s="26">
        <v>606584</v>
      </c>
      <c r="E132" s="26">
        <v>614399</v>
      </c>
      <c r="F132" s="26">
        <v>614399</v>
      </c>
      <c r="G132" s="28">
        <f t="shared" si="15"/>
        <v>100</v>
      </c>
      <c r="H132" s="762"/>
      <c r="I132" s="763"/>
    </row>
    <row r="133" spans="1:27">
      <c r="A133" s="766"/>
      <c r="B133" s="508" t="s">
        <v>508</v>
      </c>
      <c r="C133" s="507" t="s">
        <v>516</v>
      </c>
      <c r="D133" s="507"/>
      <c r="E133" s="507"/>
      <c r="F133" s="507"/>
      <c r="G133" s="28"/>
      <c r="H133" s="762"/>
      <c r="I133" s="763"/>
    </row>
    <row r="134" spans="1:27" s="688" customFormat="1">
      <c r="A134" s="769" t="s">
        <v>529</v>
      </c>
      <c r="B134" s="769"/>
      <c r="C134" s="769"/>
      <c r="D134" s="36">
        <f>SUM(D135:D140)</f>
        <v>22983364</v>
      </c>
      <c r="E134" s="36">
        <f>SUM(E135:E140)</f>
        <v>26583201</v>
      </c>
      <c r="F134" s="36">
        <f>SUM(F135:F140)</f>
        <v>25499298</v>
      </c>
      <c r="G134" s="37">
        <f t="shared" si="15"/>
        <v>95.92</v>
      </c>
      <c r="H134" s="762"/>
      <c r="I134" s="763"/>
      <c r="J134" s="678"/>
      <c r="K134" s="678"/>
      <c r="L134" s="678"/>
      <c r="M134" s="678"/>
      <c r="N134" s="678"/>
      <c r="O134" s="678"/>
      <c r="P134" s="679"/>
      <c r="Q134" s="679"/>
      <c r="R134" s="679"/>
      <c r="S134" s="679"/>
      <c r="T134" s="679"/>
      <c r="U134" s="679"/>
      <c r="V134" s="679"/>
      <c r="W134" s="679"/>
      <c r="X134" s="679"/>
      <c r="Y134" s="679"/>
      <c r="Z134" s="679"/>
      <c r="AA134" s="679"/>
    </row>
    <row r="135" spans="1:27">
      <c r="A135" s="771"/>
      <c r="B135" s="506">
        <v>104042</v>
      </c>
      <c r="C135" s="507" t="s">
        <v>522</v>
      </c>
      <c r="D135" s="26">
        <v>13264892</v>
      </c>
      <c r="E135" s="26">
        <v>15497300</v>
      </c>
      <c r="F135" s="26">
        <v>15220107</v>
      </c>
      <c r="G135" s="28">
        <f t="shared" si="15"/>
        <v>98.21</v>
      </c>
      <c r="H135" s="762"/>
      <c r="I135" s="763"/>
    </row>
    <row r="136" spans="1:27">
      <c r="A136" s="772"/>
      <c r="B136" s="506">
        <v>104043</v>
      </c>
      <c r="C136" s="507" t="s">
        <v>523</v>
      </c>
      <c r="D136" s="26">
        <v>7187476</v>
      </c>
      <c r="E136" s="26">
        <v>7671671</v>
      </c>
      <c r="F136" s="26">
        <v>6888060</v>
      </c>
      <c r="G136" s="28">
        <f t="shared" si="15"/>
        <v>89.79</v>
      </c>
      <c r="H136" s="762"/>
      <c r="I136" s="763"/>
    </row>
    <row r="137" spans="1:27">
      <c r="A137" s="772"/>
      <c r="B137" s="506">
        <v>104042</v>
      </c>
      <c r="C137" s="507" t="s">
        <v>881</v>
      </c>
      <c r="D137" s="26">
        <v>0</v>
      </c>
      <c r="E137" s="26">
        <v>488600</v>
      </c>
      <c r="F137" s="26">
        <v>488600</v>
      </c>
      <c r="G137" s="28">
        <f t="shared" si="15"/>
        <v>100</v>
      </c>
      <c r="H137" s="762"/>
      <c r="I137" s="763"/>
    </row>
    <row r="138" spans="1:27">
      <c r="A138" s="772"/>
      <c r="B138" s="506">
        <v>104043</v>
      </c>
      <c r="C138" s="507" t="s">
        <v>882</v>
      </c>
      <c r="D138" s="26">
        <v>2530996</v>
      </c>
      <c r="E138" s="26">
        <v>2925630</v>
      </c>
      <c r="F138" s="26">
        <v>2902531</v>
      </c>
      <c r="G138" s="28">
        <f t="shared" si="15"/>
        <v>99.21</v>
      </c>
      <c r="H138" s="762"/>
      <c r="I138" s="763"/>
    </row>
    <row r="139" spans="1:27">
      <c r="A139" s="772"/>
      <c r="B139" s="508" t="s">
        <v>510</v>
      </c>
      <c r="C139" s="507" t="s">
        <v>533</v>
      </c>
      <c r="D139" s="26"/>
      <c r="E139" s="26"/>
      <c r="F139" s="26"/>
      <c r="G139" s="28"/>
      <c r="H139" s="762"/>
      <c r="I139" s="763"/>
    </row>
    <row r="140" spans="1:27">
      <c r="A140" s="772"/>
      <c r="B140" s="508" t="s">
        <v>508</v>
      </c>
      <c r="C140" s="507" t="s">
        <v>516</v>
      </c>
      <c r="D140" s="26"/>
      <c r="E140" s="26"/>
      <c r="F140" s="26"/>
      <c r="G140" s="28"/>
      <c r="H140" s="762"/>
      <c r="I140" s="763"/>
    </row>
    <row r="141" spans="1:27" s="689" customFormat="1">
      <c r="A141" s="770" t="s">
        <v>531</v>
      </c>
      <c r="B141" s="770"/>
      <c r="C141" s="770"/>
      <c r="D141" s="34">
        <f>SUM(D142:D147)</f>
        <v>11322946</v>
      </c>
      <c r="E141" s="34">
        <f>SUM(E142:E147)</f>
        <v>11320837</v>
      </c>
      <c r="F141" s="34">
        <f>SUM(F142:F147)</f>
        <v>11287305</v>
      </c>
      <c r="G141" s="35">
        <f t="shared" si="15"/>
        <v>99.7</v>
      </c>
      <c r="H141" s="762"/>
      <c r="I141" s="763"/>
      <c r="J141" s="678"/>
      <c r="K141" s="678"/>
      <c r="L141" s="678"/>
      <c r="M141" s="678"/>
      <c r="N141" s="678"/>
      <c r="O141" s="678"/>
      <c r="P141" s="679"/>
      <c r="Q141" s="679"/>
      <c r="R141" s="679"/>
      <c r="S141" s="679"/>
      <c r="T141" s="679"/>
      <c r="U141" s="679"/>
      <c r="V141" s="679"/>
      <c r="W141" s="679"/>
      <c r="X141" s="679"/>
      <c r="Y141" s="679"/>
      <c r="Z141" s="679"/>
      <c r="AA141" s="679"/>
    </row>
    <row r="142" spans="1:27">
      <c r="A142" s="766"/>
      <c r="B142" s="506">
        <v>104031</v>
      </c>
      <c r="C142" s="507" t="s">
        <v>524</v>
      </c>
      <c r="D142" s="26">
        <v>10387651</v>
      </c>
      <c r="E142" s="26">
        <v>10345755</v>
      </c>
      <c r="F142" s="26">
        <v>10321167</v>
      </c>
      <c r="G142" s="28">
        <f t="shared" si="15"/>
        <v>99.76</v>
      </c>
      <c r="H142" s="762"/>
      <c r="I142" s="763"/>
    </row>
    <row r="143" spans="1:27">
      <c r="A143" s="766"/>
      <c r="B143" s="506">
        <v>104035</v>
      </c>
      <c r="C143" s="507" t="s">
        <v>525</v>
      </c>
      <c r="D143" s="26">
        <v>935295</v>
      </c>
      <c r="E143" s="26">
        <v>975082</v>
      </c>
      <c r="F143" s="26">
        <v>966138</v>
      </c>
      <c r="G143" s="28">
        <f t="shared" si="15"/>
        <v>99.08</v>
      </c>
      <c r="H143" s="762"/>
      <c r="I143" s="763"/>
    </row>
    <row r="144" spans="1:27">
      <c r="A144" s="766"/>
      <c r="B144" s="506">
        <v>104036</v>
      </c>
      <c r="C144" s="507" t="s">
        <v>526</v>
      </c>
      <c r="D144" s="507"/>
      <c r="E144" s="507"/>
      <c r="F144" s="507"/>
      <c r="G144" s="28"/>
      <c r="H144" s="762"/>
      <c r="I144" s="763"/>
    </row>
    <row r="145" spans="1:27">
      <c r="A145" s="766"/>
      <c r="B145" s="506">
        <v>104037</v>
      </c>
      <c r="C145" s="507" t="s">
        <v>534</v>
      </c>
      <c r="D145" s="26"/>
      <c r="E145" s="26"/>
      <c r="F145" s="26"/>
      <c r="G145" s="28"/>
      <c r="H145" s="762"/>
      <c r="I145" s="763"/>
    </row>
    <row r="146" spans="1:27">
      <c r="A146" s="766"/>
      <c r="B146" s="508" t="s">
        <v>510</v>
      </c>
      <c r="C146" s="507" t="s">
        <v>533</v>
      </c>
      <c r="D146" s="26"/>
      <c r="E146" s="26"/>
      <c r="F146" s="26"/>
      <c r="G146" s="28"/>
      <c r="H146" s="762"/>
      <c r="I146" s="763"/>
    </row>
    <row r="147" spans="1:27">
      <c r="A147" s="766"/>
      <c r="B147" s="508" t="s">
        <v>508</v>
      </c>
      <c r="C147" s="507" t="s">
        <v>516</v>
      </c>
      <c r="D147" s="26"/>
      <c r="E147" s="26"/>
      <c r="F147" s="26"/>
      <c r="G147" s="28"/>
      <c r="H147" s="762"/>
      <c r="I147" s="763"/>
    </row>
    <row r="148" spans="1:27">
      <c r="A148" s="773"/>
      <c r="B148" s="773"/>
      <c r="C148" s="773"/>
      <c r="D148" s="773"/>
      <c r="E148" s="773"/>
      <c r="F148" s="773"/>
      <c r="G148" s="773"/>
      <c r="H148" s="773"/>
      <c r="I148" s="773"/>
    </row>
    <row r="149" spans="1:27">
      <c r="A149" s="773"/>
      <c r="B149" s="773"/>
      <c r="C149" s="773"/>
      <c r="D149" s="773"/>
      <c r="E149" s="773"/>
      <c r="F149" s="773"/>
      <c r="G149" s="773"/>
      <c r="H149" s="773"/>
      <c r="I149" s="773"/>
    </row>
    <row r="150" spans="1:27" s="685" customFormat="1" ht="15.75">
      <c r="A150" s="761" t="s">
        <v>885</v>
      </c>
      <c r="B150" s="761"/>
      <c r="C150" s="761"/>
      <c r="D150" s="38">
        <f>SUM(D152+D171)</f>
        <v>131636196</v>
      </c>
      <c r="E150" s="38">
        <f>SUM(E152+E171)</f>
        <v>153116865</v>
      </c>
      <c r="F150" s="38">
        <f>SUM(F152+F171)</f>
        <v>104603326</v>
      </c>
      <c r="G150" s="39">
        <f>ROUND(F150/E150*100,2)</f>
        <v>68.319999999999993</v>
      </c>
      <c r="H150" s="762"/>
      <c r="I150" s="763"/>
      <c r="J150" s="683"/>
      <c r="K150" s="683"/>
      <c r="L150" s="683"/>
      <c r="M150" s="683"/>
      <c r="N150" s="683"/>
      <c r="O150" s="683"/>
      <c r="P150" s="684"/>
      <c r="Q150" s="684"/>
      <c r="R150" s="684"/>
      <c r="S150" s="684"/>
      <c r="T150" s="684"/>
      <c r="U150" s="684"/>
      <c r="V150" s="684"/>
      <c r="W150" s="684"/>
      <c r="X150" s="684"/>
      <c r="Y150" s="684"/>
      <c r="Z150" s="684"/>
      <c r="AA150" s="684"/>
    </row>
    <row r="151" spans="1:27" s="680" customFormat="1">
      <c r="A151" s="764" t="s">
        <v>1</v>
      </c>
      <c r="B151" s="764"/>
      <c r="C151" s="764"/>
      <c r="D151" s="27">
        <f>SUM(D152)</f>
        <v>46839628</v>
      </c>
      <c r="E151" s="27">
        <f>SUM(E152)</f>
        <v>40452958</v>
      </c>
      <c r="F151" s="27">
        <f>SUM(F152)</f>
        <v>23167251</v>
      </c>
      <c r="G151" s="29">
        <f t="shared" ref="G151:G190" si="16">ROUND(F151/E151*100,2)</f>
        <v>57.27</v>
      </c>
      <c r="H151" s="762"/>
      <c r="I151" s="763"/>
      <c r="J151" s="678"/>
      <c r="K151" s="678"/>
      <c r="L151" s="678"/>
      <c r="M151" s="678"/>
      <c r="N151" s="678"/>
      <c r="O151" s="678"/>
      <c r="P151" s="679"/>
      <c r="Q151" s="679"/>
      <c r="R151" s="679"/>
      <c r="S151" s="679"/>
      <c r="T151" s="679"/>
      <c r="U151" s="679"/>
      <c r="V151" s="679"/>
      <c r="W151" s="679"/>
      <c r="X151" s="679"/>
      <c r="Y151" s="679"/>
      <c r="Z151" s="679"/>
      <c r="AA151" s="679"/>
    </row>
    <row r="152" spans="1:27" s="686" customFormat="1">
      <c r="A152" s="765" t="s">
        <v>527</v>
      </c>
      <c r="B152" s="765"/>
      <c r="C152" s="765"/>
      <c r="D152" s="30">
        <f>SUM(D153:D170)</f>
        <v>46839628</v>
      </c>
      <c r="E152" s="30">
        <f>SUM(E153:E170)</f>
        <v>40452958</v>
      </c>
      <c r="F152" s="30">
        <f>SUM(F153:F170)</f>
        <v>23167251</v>
      </c>
      <c r="G152" s="31">
        <f t="shared" si="16"/>
        <v>57.27</v>
      </c>
      <c r="H152" s="762"/>
      <c r="I152" s="763"/>
      <c r="J152" s="678"/>
      <c r="K152" s="678"/>
      <c r="L152" s="678"/>
      <c r="M152" s="678"/>
      <c r="N152" s="678"/>
      <c r="O152" s="678"/>
      <c r="P152" s="679"/>
      <c r="Q152" s="679"/>
      <c r="R152" s="679"/>
      <c r="S152" s="679"/>
      <c r="T152" s="679"/>
      <c r="U152" s="679"/>
      <c r="V152" s="679"/>
      <c r="W152" s="679"/>
      <c r="X152" s="679"/>
      <c r="Y152" s="679"/>
      <c r="Z152" s="679"/>
      <c r="AA152" s="679"/>
    </row>
    <row r="153" spans="1:27">
      <c r="A153" s="766"/>
      <c r="B153" s="508" t="s">
        <v>506</v>
      </c>
      <c r="C153" s="507" t="s">
        <v>512</v>
      </c>
      <c r="D153" s="26">
        <v>19867630</v>
      </c>
      <c r="E153" s="26">
        <v>17294815</v>
      </c>
      <c r="F153" s="26">
        <v>5206076</v>
      </c>
      <c r="G153" s="28">
        <f t="shared" si="16"/>
        <v>30.1</v>
      </c>
      <c r="H153" s="762"/>
      <c r="I153" s="763"/>
    </row>
    <row r="154" spans="1:27">
      <c r="A154" s="766"/>
      <c r="B154" s="508" t="s">
        <v>507</v>
      </c>
      <c r="C154" s="507" t="s">
        <v>517</v>
      </c>
      <c r="D154" s="26"/>
      <c r="E154" s="26"/>
      <c r="F154" s="26"/>
      <c r="G154" s="28"/>
      <c r="H154" s="762"/>
      <c r="I154" s="763"/>
    </row>
    <row r="155" spans="1:27" ht="25.5">
      <c r="A155" s="766"/>
      <c r="B155" s="509" t="s">
        <v>884</v>
      </c>
      <c r="C155" s="510" t="s">
        <v>1191</v>
      </c>
      <c r="D155" s="26">
        <v>26472749</v>
      </c>
      <c r="E155" s="26">
        <v>23064145</v>
      </c>
      <c r="F155" s="26">
        <v>17961175</v>
      </c>
      <c r="G155" s="28">
        <f t="shared" si="16"/>
        <v>77.87</v>
      </c>
      <c r="H155" s="762"/>
      <c r="I155" s="763"/>
    </row>
    <row r="156" spans="1:27" ht="25.5">
      <c r="A156" s="766"/>
      <c r="B156" s="509" t="s">
        <v>961</v>
      </c>
      <c r="C156" s="510" t="s">
        <v>962</v>
      </c>
      <c r="D156" s="26">
        <v>405251</v>
      </c>
      <c r="E156" s="26">
        <v>0</v>
      </c>
      <c r="F156" s="26">
        <v>0</v>
      </c>
      <c r="G156" s="28">
        <v>0</v>
      </c>
      <c r="H156" s="762"/>
      <c r="I156" s="763"/>
    </row>
    <row r="157" spans="1:27">
      <c r="A157" s="766"/>
      <c r="B157" s="508" t="s">
        <v>513</v>
      </c>
      <c r="C157" s="507" t="s">
        <v>514</v>
      </c>
      <c r="D157" s="26"/>
      <c r="E157" s="26"/>
      <c r="F157" s="26"/>
      <c r="G157" s="28"/>
      <c r="H157" s="762"/>
      <c r="I157" s="763"/>
    </row>
    <row r="158" spans="1:27">
      <c r="A158" s="766"/>
      <c r="B158" s="508" t="s">
        <v>508</v>
      </c>
      <c r="C158" s="507" t="s">
        <v>516</v>
      </c>
      <c r="D158" s="26"/>
      <c r="E158" s="26"/>
      <c r="F158" s="26"/>
      <c r="G158" s="28"/>
      <c r="H158" s="762"/>
      <c r="I158" s="763"/>
    </row>
    <row r="159" spans="1:27">
      <c r="A159" s="766"/>
      <c r="B159" s="508" t="s">
        <v>509</v>
      </c>
      <c r="C159" s="507" t="s">
        <v>511</v>
      </c>
      <c r="D159" s="26"/>
      <c r="E159" s="26"/>
      <c r="F159" s="26"/>
      <c r="G159" s="28"/>
      <c r="H159" s="762"/>
      <c r="I159" s="763"/>
    </row>
    <row r="160" spans="1:27">
      <c r="A160" s="766"/>
      <c r="B160" s="506">
        <v>107052</v>
      </c>
      <c r="C160" s="507" t="s">
        <v>518</v>
      </c>
      <c r="D160" s="26"/>
      <c r="E160" s="26"/>
      <c r="F160" s="26"/>
      <c r="G160" s="28"/>
      <c r="H160" s="762"/>
      <c r="I160" s="763"/>
    </row>
    <row r="161" spans="1:27">
      <c r="A161" s="766"/>
      <c r="B161" s="506">
        <v>107051</v>
      </c>
      <c r="C161" s="507" t="s">
        <v>194</v>
      </c>
      <c r="D161" s="26"/>
      <c r="E161" s="26"/>
      <c r="F161" s="26"/>
      <c r="G161" s="28"/>
      <c r="H161" s="762"/>
      <c r="I161" s="763"/>
    </row>
    <row r="162" spans="1:27">
      <c r="A162" s="766"/>
      <c r="B162" s="506">
        <v>107053</v>
      </c>
      <c r="C162" s="507" t="s">
        <v>519</v>
      </c>
      <c r="D162" s="26"/>
      <c r="E162" s="26"/>
      <c r="F162" s="26"/>
      <c r="G162" s="28"/>
      <c r="H162" s="762"/>
      <c r="I162" s="763"/>
    </row>
    <row r="163" spans="1:27">
      <c r="A163" s="766"/>
      <c r="B163" s="506">
        <v>102031</v>
      </c>
      <c r="C163" s="507" t="s">
        <v>520</v>
      </c>
      <c r="D163" s="26"/>
      <c r="E163" s="26"/>
      <c r="F163" s="26"/>
      <c r="G163" s="28"/>
      <c r="H163" s="762"/>
      <c r="I163" s="763"/>
    </row>
    <row r="164" spans="1:27">
      <c r="A164" s="766"/>
      <c r="B164" s="506">
        <v>107013</v>
      </c>
      <c r="C164" s="507" t="s">
        <v>521</v>
      </c>
      <c r="D164" s="26"/>
      <c r="E164" s="26"/>
      <c r="F164" s="26"/>
      <c r="G164" s="28"/>
      <c r="H164" s="762"/>
      <c r="I164" s="763"/>
    </row>
    <row r="165" spans="1:27">
      <c r="A165" s="766"/>
      <c r="B165" s="508" t="s">
        <v>848</v>
      </c>
      <c r="C165" s="507" t="s">
        <v>874</v>
      </c>
      <c r="D165" s="26">
        <v>93998</v>
      </c>
      <c r="E165" s="26">
        <v>93998</v>
      </c>
      <c r="F165" s="26">
        <v>0</v>
      </c>
      <c r="G165" s="28">
        <f t="shared" si="16"/>
        <v>0</v>
      </c>
      <c r="H165" s="762"/>
      <c r="I165" s="763"/>
    </row>
    <row r="166" spans="1:27">
      <c r="A166" s="766"/>
      <c r="B166" s="506">
        <v>104042</v>
      </c>
      <c r="C166" s="507" t="s">
        <v>522</v>
      </c>
      <c r="D166" s="26"/>
      <c r="E166" s="26"/>
      <c r="F166" s="26"/>
      <c r="G166" s="28"/>
      <c r="H166" s="762"/>
      <c r="I166" s="763"/>
    </row>
    <row r="167" spans="1:27">
      <c r="A167" s="766"/>
      <c r="B167" s="506">
        <v>104043</v>
      </c>
      <c r="C167" s="507" t="s">
        <v>523</v>
      </c>
      <c r="D167" s="26"/>
      <c r="E167" s="26"/>
      <c r="F167" s="26"/>
      <c r="G167" s="28"/>
      <c r="H167" s="762"/>
      <c r="I167" s="763"/>
    </row>
    <row r="168" spans="1:27">
      <c r="A168" s="766"/>
      <c r="B168" s="506">
        <v>104031</v>
      </c>
      <c r="C168" s="507" t="s">
        <v>524</v>
      </c>
      <c r="D168" s="26"/>
      <c r="E168" s="26"/>
      <c r="F168" s="26"/>
      <c r="G168" s="28"/>
      <c r="H168" s="762"/>
      <c r="I168" s="763"/>
    </row>
    <row r="169" spans="1:27">
      <c r="A169" s="766"/>
      <c r="B169" s="506">
        <v>104035</v>
      </c>
      <c r="C169" s="507" t="s">
        <v>525</v>
      </c>
      <c r="D169" s="26"/>
      <c r="E169" s="26"/>
      <c r="F169" s="26"/>
      <c r="G169" s="28"/>
      <c r="H169" s="762"/>
      <c r="I169" s="763"/>
    </row>
    <row r="170" spans="1:27">
      <c r="A170" s="766"/>
      <c r="B170" s="506">
        <v>104036</v>
      </c>
      <c r="C170" s="507" t="s">
        <v>526</v>
      </c>
      <c r="D170" s="26"/>
      <c r="E170" s="26"/>
      <c r="F170" s="26"/>
      <c r="G170" s="28"/>
      <c r="H170" s="762"/>
      <c r="I170" s="763"/>
    </row>
    <row r="171" spans="1:27" s="680" customFormat="1">
      <c r="A171" s="767" t="s">
        <v>528</v>
      </c>
      <c r="B171" s="767"/>
      <c r="C171" s="767"/>
      <c r="D171" s="27">
        <f>SUM(D172+D181+D188)</f>
        <v>84796568</v>
      </c>
      <c r="E171" s="27">
        <f>SUM(E172+E181+E188)</f>
        <v>112663907</v>
      </c>
      <c r="F171" s="27">
        <f>SUM(F172+F181+F188)</f>
        <v>81436075</v>
      </c>
      <c r="G171" s="29">
        <f t="shared" si="16"/>
        <v>72.28</v>
      </c>
      <c r="H171" s="762"/>
      <c r="I171" s="763"/>
      <c r="J171" s="678"/>
      <c r="K171" s="678"/>
      <c r="L171" s="678"/>
      <c r="M171" s="678"/>
      <c r="N171" s="678"/>
      <c r="O171" s="678"/>
      <c r="P171" s="679"/>
      <c r="Q171" s="679"/>
      <c r="R171" s="679"/>
      <c r="S171" s="679"/>
      <c r="T171" s="679"/>
      <c r="U171" s="679"/>
      <c r="V171" s="679"/>
      <c r="W171" s="679"/>
      <c r="X171" s="679"/>
      <c r="Y171" s="679"/>
      <c r="Z171" s="679"/>
      <c r="AA171" s="679"/>
    </row>
    <row r="172" spans="1:27" s="687" customFormat="1">
      <c r="A172" s="768" t="s">
        <v>530</v>
      </c>
      <c r="B172" s="768"/>
      <c r="C172" s="768"/>
      <c r="D172" s="32">
        <f>SUM(D173:D180)</f>
        <v>46388250</v>
      </c>
      <c r="E172" s="32">
        <f>SUM(E173:E180)</f>
        <v>49903822</v>
      </c>
      <c r="F172" s="32">
        <f>SUM(F173:F180)</f>
        <v>47814738</v>
      </c>
      <c r="G172" s="33">
        <f t="shared" si="16"/>
        <v>95.81</v>
      </c>
      <c r="H172" s="762"/>
      <c r="I172" s="763"/>
      <c r="J172" s="678"/>
      <c r="K172" s="678"/>
      <c r="L172" s="678"/>
      <c r="M172" s="678"/>
      <c r="N172" s="678"/>
      <c r="O172" s="678"/>
      <c r="P172" s="679"/>
      <c r="Q172" s="679"/>
      <c r="R172" s="679"/>
      <c r="S172" s="679"/>
      <c r="T172" s="679"/>
      <c r="U172" s="679"/>
      <c r="V172" s="679"/>
      <c r="W172" s="679"/>
      <c r="X172" s="679"/>
      <c r="Y172" s="679"/>
      <c r="Z172" s="679"/>
      <c r="AA172" s="679"/>
    </row>
    <row r="173" spans="1:27">
      <c r="A173" s="766"/>
      <c r="B173" s="506">
        <v>107052</v>
      </c>
      <c r="C173" s="507" t="s">
        <v>518</v>
      </c>
      <c r="D173" s="26">
        <v>8691598</v>
      </c>
      <c r="E173" s="26">
        <v>12676210</v>
      </c>
      <c r="F173" s="26">
        <v>11937571</v>
      </c>
      <c r="G173" s="28">
        <f t="shared" si="16"/>
        <v>94.17</v>
      </c>
      <c r="H173" s="762"/>
      <c r="I173" s="763"/>
    </row>
    <row r="174" spans="1:27">
      <c r="A174" s="766"/>
      <c r="B174" s="506">
        <v>107053</v>
      </c>
      <c r="C174" s="507" t="s">
        <v>519</v>
      </c>
      <c r="D174" s="26">
        <v>5081868</v>
      </c>
      <c r="E174" s="26">
        <v>5278487</v>
      </c>
      <c r="F174" s="26">
        <v>5206147</v>
      </c>
      <c r="G174" s="28">
        <f t="shared" si="16"/>
        <v>98.63</v>
      </c>
      <c r="H174" s="762"/>
      <c r="I174" s="763"/>
    </row>
    <row r="175" spans="1:27">
      <c r="A175" s="766"/>
      <c r="B175" s="506">
        <v>107051</v>
      </c>
      <c r="C175" s="507" t="s">
        <v>194</v>
      </c>
      <c r="D175" s="26">
        <v>14885268</v>
      </c>
      <c r="E175" s="26">
        <v>14093064</v>
      </c>
      <c r="F175" s="26">
        <v>14076148</v>
      </c>
      <c r="G175" s="28">
        <f t="shared" si="16"/>
        <v>99.88</v>
      </c>
      <c r="H175" s="762"/>
      <c r="I175" s="763"/>
    </row>
    <row r="176" spans="1:27">
      <c r="A176" s="766"/>
      <c r="B176" s="506">
        <v>102031</v>
      </c>
      <c r="C176" s="507" t="s">
        <v>520</v>
      </c>
      <c r="D176" s="26">
        <v>2103917</v>
      </c>
      <c r="E176" s="26">
        <v>2475805</v>
      </c>
      <c r="F176" s="26">
        <v>2364921</v>
      </c>
      <c r="G176" s="28">
        <f t="shared" si="16"/>
        <v>95.52</v>
      </c>
      <c r="H176" s="762"/>
      <c r="I176" s="763"/>
    </row>
    <row r="177" spans="1:27">
      <c r="A177" s="766"/>
      <c r="B177" s="506">
        <v>102032</v>
      </c>
      <c r="C177" s="507" t="s">
        <v>883</v>
      </c>
      <c r="D177" s="26">
        <v>3671916</v>
      </c>
      <c r="E177" s="26">
        <v>3288612</v>
      </c>
      <c r="F177" s="26">
        <v>3075667</v>
      </c>
      <c r="G177" s="28">
        <f t="shared" si="16"/>
        <v>93.52</v>
      </c>
      <c r="H177" s="762"/>
      <c r="I177" s="763"/>
    </row>
    <row r="178" spans="1:27">
      <c r="A178" s="766"/>
      <c r="B178" s="506">
        <v>107013</v>
      </c>
      <c r="C178" s="507" t="s">
        <v>532</v>
      </c>
      <c r="D178" s="26">
        <v>11953683</v>
      </c>
      <c r="E178" s="26">
        <v>12091644</v>
      </c>
      <c r="F178" s="26">
        <v>11154284</v>
      </c>
      <c r="G178" s="28">
        <f t="shared" si="16"/>
        <v>92.25</v>
      </c>
      <c r="H178" s="762"/>
      <c r="I178" s="763"/>
    </row>
    <row r="179" spans="1:27">
      <c r="A179" s="766"/>
      <c r="B179" s="508" t="s">
        <v>510</v>
      </c>
      <c r="C179" s="507" t="s">
        <v>533</v>
      </c>
      <c r="D179" s="26">
        <v>0</v>
      </c>
      <c r="E179" s="26">
        <v>0</v>
      </c>
      <c r="F179" s="26">
        <v>0</v>
      </c>
      <c r="G179" s="28">
        <v>0</v>
      </c>
      <c r="H179" s="762"/>
      <c r="I179" s="763"/>
    </row>
    <row r="180" spans="1:27">
      <c r="A180" s="766"/>
      <c r="B180" s="508" t="s">
        <v>508</v>
      </c>
      <c r="C180" s="507" t="s">
        <v>516</v>
      </c>
      <c r="D180" s="26"/>
      <c r="E180" s="26"/>
      <c r="F180" s="26"/>
      <c r="G180" s="28"/>
      <c r="H180" s="762"/>
      <c r="I180" s="763"/>
    </row>
    <row r="181" spans="1:27" s="688" customFormat="1">
      <c r="A181" s="769" t="s">
        <v>529</v>
      </c>
      <c r="B181" s="769"/>
      <c r="C181" s="769"/>
      <c r="D181" s="36">
        <f>SUM(D182:D187)</f>
        <v>19068422</v>
      </c>
      <c r="E181" s="36">
        <f>SUM(E182:E187)</f>
        <v>30638656</v>
      </c>
      <c r="F181" s="36">
        <f>SUM(F182:F187)</f>
        <v>16108991</v>
      </c>
      <c r="G181" s="37">
        <f t="shared" si="16"/>
        <v>52.58</v>
      </c>
      <c r="H181" s="762"/>
      <c r="I181" s="763"/>
      <c r="J181" s="678"/>
      <c r="K181" s="678"/>
      <c r="L181" s="678"/>
      <c r="M181" s="678"/>
      <c r="N181" s="678"/>
      <c r="O181" s="678"/>
      <c r="P181" s="679"/>
      <c r="Q181" s="679"/>
      <c r="R181" s="679"/>
      <c r="S181" s="679"/>
      <c r="T181" s="679"/>
      <c r="U181" s="679"/>
      <c r="V181" s="679"/>
      <c r="W181" s="679"/>
      <c r="X181" s="679"/>
      <c r="Y181" s="679"/>
      <c r="Z181" s="679"/>
      <c r="AA181" s="679"/>
    </row>
    <row r="182" spans="1:27">
      <c r="A182" s="766"/>
      <c r="B182" s="506">
        <v>104042</v>
      </c>
      <c r="C182" s="507" t="s">
        <v>522</v>
      </c>
      <c r="D182" s="26">
        <v>8524534</v>
      </c>
      <c r="E182" s="26">
        <v>7957386</v>
      </c>
      <c r="F182" s="26">
        <v>6159160</v>
      </c>
      <c r="G182" s="28">
        <f t="shared" si="16"/>
        <v>77.400000000000006</v>
      </c>
      <c r="H182" s="762"/>
      <c r="I182" s="763"/>
    </row>
    <row r="183" spans="1:27">
      <c r="A183" s="766"/>
      <c r="B183" s="506">
        <v>104043</v>
      </c>
      <c r="C183" s="507" t="s">
        <v>523</v>
      </c>
      <c r="D183" s="26">
        <v>7566978</v>
      </c>
      <c r="E183" s="26">
        <v>6518989</v>
      </c>
      <c r="F183" s="26">
        <v>5239755</v>
      </c>
      <c r="G183" s="28">
        <f t="shared" si="16"/>
        <v>80.38</v>
      </c>
      <c r="H183" s="762"/>
      <c r="I183" s="763"/>
    </row>
    <row r="184" spans="1:27" ht="27.75" customHeight="1">
      <c r="A184" s="766"/>
      <c r="B184" s="506">
        <v>104042</v>
      </c>
      <c r="C184" s="510" t="s">
        <v>1191</v>
      </c>
      <c r="D184" s="26">
        <v>2034904</v>
      </c>
      <c r="E184" s="26">
        <v>2922770</v>
      </c>
      <c r="F184" s="26">
        <v>2922770</v>
      </c>
      <c r="G184" s="28">
        <f t="shared" si="16"/>
        <v>100</v>
      </c>
      <c r="H184" s="762"/>
      <c r="I184" s="763"/>
    </row>
    <row r="185" spans="1:27">
      <c r="A185" s="766"/>
      <c r="B185" s="506">
        <v>104043</v>
      </c>
      <c r="C185" s="507" t="s">
        <v>882</v>
      </c>
      <c r="D185" s="26">
        <v>942006</v>
      </c>
      <c r="E185" s="26">
        <v>13239511</v>
      </c>
      <c r="F185" s="26">
        <v>1787306</v>
      </c>
      <c r="G185" s="28">
        <f t="shared" si="16"/>
        <v>13.5</v>
      </c>
      <c r="H185" s="762"/>
      <c r="I185" s="763"/>
    </row>
    <row r="186" spans="1:27">
      <c r="A186" s="766"/>
      <c r="B186" s="508" t="s">
        <v>510</v>
      </c>
      <c r="C186" s="507" t="s">
        <v>533</v>
      </c>
      <c r="D186" s="26"/>
      <c r="E186" s="26"/>
      <c r="F186" s="26"/>
      <c r="G186" s="28"/>
      <c r="H186" s="762"/>
      <c r="I186" s="763"/>
    </row>
    <row r="187" spans="1:27">
      <c r="A187" s="766"/>
      <c r="B187" s="508" t="s">
        <v>508</v>
      </c>
      <c r="C187" s="507" t="s">
        <v>516</v>
      </c>
      <c r="D187" s="26"/>
      <c r="E187" s="26"/>
      <c r="F187" s="26"/>
      <c r="G187" s="28"/>
      <c r="H187" s="762"/>
      <c r="I187" s="763"/>
    </row>
    <row r="188" spans="1:27" s="689" customFormat="1">
      <c r="A188" s="770" t="s">
        <v>531</v>
      </c>
      <c r="B188" s="770"/>
      <c r="C188" s="770"/>
      <c r="D188" s="34">
        <f>SUM(D189:D194)</f>
        <v>19339896</v>
      </c>
      <c r="E188" s="34">
        <f>SUM(E189:E194)</f>
        <v>32121429</v>
      </c>
      <c r="F188" s="34">
        <f>SUM(F189:F194)</f>
        <v>17512346</v>
      </c>
      <c r="G188" s="35">
        <f t="shared" si="16"/>
        <v>54.52</v>
      </c>
      <c r="H188" s="762"/>
      <c r="I188" s="763"/>
      <c r="J188" s="678"/>
      <c r="K188" s="678"/>
      <c r="L188" s="678"/>
      <c r="M188" s="678"/>
      <c r="N188" s="678"/>
      <c r="O188" s="678"/>
      <c r="P188" s="680"/>
      <c r="Q188" s="679"/>
      <c r="R188" s="679"/>
      <c r="S188" s="679"/>
      <c r="T188" s="679"/>
      <c r="U188" s="679"/>
      <c r="V188" s="679"/>
      <c r="W188" s="679"/>
      <c r="X188" s="679"/>
      <c r="Y188" s="679"/>
      <c r="Z188" s="679"/>
      <c r="AA188" s="679"/>
    </row>
    <row r="189" spans="1:27">
      <c r="A189" s="766"/>
      <c r="B189" s="506">
        <v>104031</v>
      </c>
      <c r="C189" s="507" t="s">
        <v>524</v>
      </c>
      <c r="D189" s="26">
        <v>9229743</v>
      </c>
      <c r="E189" s="26">
        <v>21937463</v>
      </c>
      <c r="F189" s="26">
        <v>7455561</v>
      </c>
      <c r="G189" s="28">
        <f t="shared" si="16"/>
        <v>33.99</v>
      </c>
      <c r="H189" s="762"/>
      <c r="I189" s="763"/>
    </row>
    <row r="190" spans="1:27">
      <c r="A190" s="766"/>
      <c r="B190" s="506">
        <v>104035</v>
      </c>
      <c r="C190" s="507" t="s">
        <v>525</v>
      </c>
      <c r="D190" s="26">
        <v>10110153</v>
      </c>
      <c r="E190" s="26">
        <v>10183966</v>
      </c>
      <c r="F190" s="26">
        <v>10056785</v>
      </c>
      <c r="G190" s="28">
        <f t="shared" si="16"/>
        <v>98.75</v>
      </c>
      <c r="H190" s="762"/>
      <c r="I190" s="763"/>
    </row>
    <row r="191" spans="1:27">
      <c r="A191" s="766"/>
      <c r="B191" s="506">
        <v>104036</v>
      </c>
      <c r="C191" s="507" t="s">
        <v>526</v>
      </c>
      <c r="D191" s="26"/>
      <c r="E191" s="26"/>
      <c r="F191" s="26"/>
      <c r="G191" s="28"/>
      <c r="H191" s="762"/>
      <c r="I191" s="763"/>
    </row>
    <row r="192" spans="1:27">
      <c r="A192" s="766"/>
      <c r="B192" s="506">
        <v>104037</v>
      </c>
      <c r="C192" s="507" t="s">
        <v>534</v>
      </c>
      <c r="D192" s="26"/>
      <c r="E192" s="26"/>
      <c r="F192" s="26"/>
      <c r="G192" s="28"/>
      <c r="H192" s="762"/>
      <c r="I192" s="763"/>
    </row>
    <row r="193" spans="1:27">
      <c r="A193" s="766"/>
      <c r="B193" s="508" t="s">
        <v>510</v>
      </c>
      <c r="C193" s="507" t="s">
        <v>533</v>
      </c>
      <c r="D193" s="26"/>
      <c r="E193" s="26"/>
      <c r="F193" s="26"/>
      <c r="G193" s="28"/>
      <c r="H193" s="762"/>
      <c r="I193" s="763"/>
    </row>
    <row r="194" spans="1:27">
      <c r="A194" s="766"/>
      <c r="B194" s="508" t="s">
        <v>508</v>
      </c>
      <c r="C194" s="507" t="s">
        <v>516</v>
      </c>
      <c r="D194" s="26"/>
      <c r="E194" s="26"/>
      <c r="F194" s="26"/>
      <c r="G194" s="28"/>
      <c r="H194" s="762"/>
      <c r="I194" s="763"/>
    </row>
    <row r="195" spans="1:27">
      <c r="A195" s="681"/>
      <c r="B195" s="682"/>
      <c r="C195" s="681"/>
      <c r="D195" s="681"/>
      <c r="E195" s="681"/>
      <c r="F195" s="681"/>
      <c r="G195" s="681"/>
      <c r="H195" s="681"/>
      <c r="I195" s="681"/>
    </row>
    <row r="196" spans="1:27">
      <c r="A196" s="681"/>
      <c r="B196" s="682"/>
      <c r="C196" s="681"/>
      <c r="D196" s="681"/>
      <c r="E196" s="681"/>
      <c r="F196" s="681"/>
      <c r="G196" s="681"/>
      <c r="H196" s="681"/>
      <c r="I196" s="681"/>
    </row>
    <row r="197" spans="1:27" s="685" customFormat="1" ht="15.75">
      <c r="A197" s="761" t="s">
        <v>1032</v>
      </c>
      <c r="B197" s="761"/>
      <c r="C197" s="761"/>
      <c r="D197" s="38">
        <f>SUM(D199+D217)</f>
        <v>53255565</v>
      </c>
      <c r="E197" s="38">
        <f>SUM(E199+E217)</f>
        <v>66413932</v>
      </c>
      <c r="F197" s="38">
        <f>SUM(F199+F217)</f>
        <v>66413932</v>
      </c>
      <c r="G197" s="39">
        <f>ROUND(F197/E197*100,2)</f>
        <v>100</v>
      </c>
      <c r="H197" s="762"/>
      <c r="I197" s="763"/>
      <c r="J197" s="683"/>
      <c r="K197" s="683"/>
      <c r="L197" s="683"/>
      <c r="M197" s="683"/>
      <c r="N197" s="683"/>
      <c r="O197" s="683"/>
      <c r="P197" s="684"/>
      <c r="Q197" s="684"/>
      <c r="R197" s="684"/>
      <c r="S197" s="684"/>
      <c r="T197" s="684"/>
      <c r="U197" s="684"/>
      <c r="V197" s="684"/>
      <c r="W197" s="684"/>
      <c r="X197" s="684"/>
      <c r="Y197" s="684"/>
      <c r="Z197" s="684"/>
      <c r="AA197" s="684"/>
    </row>
    <row r="198" spans="1:27" s="680" customFormat="1">
      <c r="A198" s="764" t="s">
        <v>1</v>
      </c>
      <c r="B198" s="764"/>
      <c r="C198" s="764"/>
      <c r="D198" s="27">
        <f>SUM(D199)</f>
        <v>53255565</v>
      </c>
      <c r="E198" s="27">
        <f>SUM(E199)</f>
        <v>66413932</v>
      </c>
      <c r="F198" s="27">
        <f>SUM(F199)</f>
        <v>66413932</v>
      </c>
      <c r="G198" s="29">
        <f>ROUND(F198/E198*100,2)</f>
        <v>100</v>
      </c>
      <c r="H198" s="762"/>
      <c r="I198" s="763"/>
      <c r="J198" s="678"/>
      <c r="K198" s="678"/>
      <c r="L198" s="678"/>
      <c r="M198" s="678"/>
      <c r="N198" s="678"/>
      <c r="O198" s="678"/>
      <c r="P198" s="679"/>
      <c r="Q198" s="679"/>
      <c r="R198" s="679"/>
      <c r="S198" s="679"/>
      <c r="T198" s="679"/>
      <c r="U198" s="679"/>
      <c r="V198" s="679"/>
      <c r="W198" s="679"/>
      <c r="X198" s="679"/>
      <c r="Y198" s="679"/>
      <c r="Z198" s="679"/>
      <c r="AA198" s="679"/>
    </row>
    <row r="199" spans="1:27" s="686" customFormat="1">
      <c r="A199" s="765" t="s">
        <v>527</v>
      </c>
      <c r="B199" s="765"/>
      <c r="C199" s="765"/>
      <c r="D199" s="30">
        <f>SUM(D200:D216)</f>
        <v>53255565</v>
      </c>
      <c r="E199" s="30">
        <f>SUM(E200:E216)</f>
        <v>66413932</v>
      </c>
      <c r="F199" s="30">
        <f>SUM(F200:F216)</f>
        <v>66413932</v>
      </c>
      <c r="G199" s="31">
        <f>ROUND(F199/E199*100,2)</f>
        <v>100</v>
      </c>
      <c r="H199" s="762"/>
      <c r="I199" s="763"/>
      <c r="J199" s="678"/>
      <c r="K199" s="678"/>
      <c r="L199" s="678"/>
      <c r="M199" s="678"/>
      <c r="N199" s="678"/>
      <c r="O199" s="678"/>
      <c r="P199" s="679"/>
      <c r="Q199" s="679"/>
      <c r="R199" s="679"/>
      <c r="S199" s="679"/>
      <c r="T199" s="679"/>
      <c r="U199" s="679"/>
      <c r="V199" s="679"/>
      <c r="W199" s="679"/>
      <c r="X199" s="679"/>
      <c r="Y199" s="679"/>
      <c r="Z199" s="679"/>
      <c r="AA199" s="679"/>
    </row>
    <row r="200" spans="1:27">
      <c r="A200" s="766"/>
      <c r="B200" s="508" t="s">
        <v>506</v>
      </c>
      <c r="C200" s="507" t="s">
        <v>512</v>
      </c>
      <c r="D200" s="26"/>
      <c r="E200" s="26"/>
      <c r="F200" s="26"/>
      <c r="G200" s="28"/>
      <c r="H200" s="762"/>
      <c r="I200" s="763"/>
    </row>
    <row r="201" spans="1:27">
      <c r="A201" s="766"/>
      <c r="B201" s="508" t="s">
        <v>507</v>
      </c>
      <c r="C201" s="507" t="s">
        <v>517</v>
      </c>
      <c r="D201" s="26"/>
      <c r="E201" s="26"/>
      <c r="F201" s="26"/>
      <c r="G201" s="28"/>
      <c r="H201" s="762"/>
      <c r="I201" s="763"/>
    </row>
    <row r="202" spans="1:27">
      <c r="A202" s="766"/>
      <c r="B202" s="506">
        <v>107052</v>
      </c>
      <c r="C202" s="507" t="s">
        <v>515</v>
      </c>
      <c r="D202" s="26"/>
      <c r="E202" s="26"/>
      <c r="F202" s="26"/>
      <c r="G202" s="28"/>
      <c r="H202" s="762"/>
      <c r="I202" s="763"/>
    </row>
    <row r="203" spans="1:27" ht="25.5">
      <c r="A203" s="766"/>
      <c r="B203" s="508" t="s">
        <v>508</v>
      </c>
      <c r="C203" s="510" t="s">
        <v>962</v>
      </c>
      <c r="D203" s="26">
        <v>0</v>
      </c>
      <c r="E203" s="26">
        <v>405251</v>
      </c>
      <c r="F203" s="26">
        <v>405251</v>
      </c>
      <c r="G203" s="28">
        <f>ROUND(F203/E203*100,2)</f>
        <v>100</v>
      </c>
      <c r="H203" s="762"/>
      <c r="I203" s="763"/>
    </row>
    <row r="204" spans="1:27">
      <c r="A204" s="766"/>
      <c r="B204" s="508" t="s">
        <v>513</v>
      </c>
      <c r="C204" s="507" t="s">
        <v>514</v>
      </c>
      <c r="D204" s="26">
        <v>33692196</v>
      </c>
      <c r="E204" s="26">
        <v>33692196</v>
      </c>
      <c r="F204" s="26">
        <v>33692196</v>
      </c>
      <c r="G204" s="28">
        <f>ROUND(F204/E204*100,2)</f>
        <v>100</v>
      </c>
      <c r="H204" s="762"/>
      <c r="I204" s="763"/>
    </row>
    <row r="205" spans="1:27">
      <c r="A205" s="766"/>
      <c r="B205" s="508" t="s">
        <v>508</v>
      </c>
      <c r="C205" s="507" t="s">
        <v>516</v>
      </c>
      <c r="D205" s="26">
        <v>19563369</v>
      </c>
      <c r="E205" s="26">
        <v>32316485</v>
      </c>
      <c r="F205" s="694">
        <v>32316485</v>
      </c>
      <c r="G205" s="28">
        <f>ROUND(F205/E205*100,2)</f>
        <v>100</v>
      </c>
      <c r="H205" s="762"/>
      <c r="I205" s="763"/>
    </row>
    <row r="206" spans="1:27">
      <c r="A206" s="766"/>
      <c r="B206" s="508" t="s">
        <v>509</v>
      </c>
      <c r="C206" s="507" t="s">
        <v>511</v>
      </c>
      <c r="D206" s="26"/>
      <c r="E206" s="26"/>
      <c r="F206" s="26"/>
      <c r="G206" s="28"/>
      <c r="H206" s="762"/>
      <c r="I206" s="763"/>
    </row>
    <row r="207" spans="1:27">
      <c r="A207" s="766"/>
      <c r="B207" s="506">
        <v>107052</v>
      </c>
      <c r="C207" s="507" t="s">
        <v>518</v>
      </c>
      <c r="D207" s="26"/>
      <c r="E207" s="26"/>
      <c r="F207" s="26"/>
      <c r="G207" s="28"/>
      <c r="H207" s="762"/>
      <c r="I207" s="763"/>
    </row>
    <row r="208" spans="1:27">
      <c r="A208" s="766"/>
      <c r="B208" s="506">
        <v>107051</v>
      </c>
      <c r="C208" s="507" t="s">
        <v>194</v>
      </c>
      <c r="D208" s="26"/>
      <c r="E208" s="26"/>
      <c r="F208" s="26"/>
      <c r="G208" s="28"/>
      <c r="H208" s="762"/>
      <c r="I208" s="763"/>
    </row>
    <row r="209" spans="1:27">
      <c r="A209" s="766"/>
      <c r="B209" s="506">
        <v>107053</v>
      </c>
      <c r="C209" s="507" t="s">
        <v>519</v>
      </c>
      <c r="D209" s="26"/>
      <c r="E209" s="26"/>
      <c r="F209" s="26"/>
      <c r="G209" s="28"/>
      <c r="H209" s="762"/>
      <c r="I209" s="763"/>
    </row>
    <row r="210" spans="1:27">
      <c r="A210" s="766"/>
      <c r="B210" s="506">
        <v>102031</v>
      </c>
      <c r="C210" s="507" t="s">
        <v>520</v>
      </c>
      <c r="D210" s="26"/>
      <c r="E210" s="26"/>
      <c r="F210" s="26"/>
      <c r="G210" s="28"/>
      <c r="H210" s="762"/>
      <c r="I210" s="763"/>
    </row>
    <row r="211" spans="1:27">
      <c r="A211" s="766"/>
      <c r="B211" s="506">
        <v>107013</v>
      </c>
      <c r="C211" s="507" t="s">
        <v>521</v>
      </c>
      <c r="D211" s="26"/>
      <c r="E211" s="26"/>
      <c r="F211" s="26"/>
      <c r="G211" s="28"/>
      <c r="H211" s="762"/>
      <c r="I211" s="763"/>
    </row>
    <row r="212" spans="1:27">
      <c r="A212" s="766"/>
      <c r="B212" s="506">
        <v>104042</v>
      </c>
      <c r="C212" s="507" t="s">
        <v>522</v>
      </c>
      <c r="D212" s="26"/>
      <c r="E212" s="26"/>
      <c r="F212" s="26"/>
      <c r="G212" s="28"/>
      <c r="H212" s="762"/>
      <c r="I212" s="763"/>
    </row>
    <row r="213" spans="1:27">
      <c r="A213" s="766"/>
      <c r="B213" s="506">
        <v>104043</v>
      </c>
      <c r="C213" s="507" t="s">
        <v>523</v>
      </c>
      <c r="D213" s="26"/>
      <c r="E213" s="26"/>
      <c r="F213" s="26"/>
      <c r="G213" s="28"/>
      <c r="H213" s="762"/>
      <c r="I213" s="763"/>
    </row>
    <row r="214" spans="1:27">
      <c r="A214" s="766"/>
      <c r="B214" s="506">
        <v>104031</v>
      </c>
      <c r="C214" s="507" t="s">
        <v>524</v>
      </c>
      <c r="D214" s="26"/>
      <c r="E214" s="26"/>
      <c r="F214" s="26"/>
      <c r="G214" s="28"/>
      <c r="H214" s="762"/>
      <c r="I214" s="763"/>
    </row>
    <row r="215" spans="1:27">
      <c r="A215" s="766"/>
      <c r="B215" s="506">
        <v>104035</v>
      </c>
      <c r="C215" s="507" t="s">
        <v>525</v>
      </c>
      <c r="D215" s="26"/>
      <c r="E215" s="26"/>
      <c r="F215" s="26"/>
      <c r="G215" s="28"/>
      <c r="H215" s="762"/>
      <c r="I215" s="763"/>
    </row>
    <row r="216" spans="1:27">
      <c r="A216" s="766"/>
      <c r="B216" s="506">
        <v>104036</v>
      </c>
      <c r="C216" s="507" t="s">
        <v>526</v>
      </c>
      <c r="D216" s="26"/>
      <c r="E216" s="26"/>
      <c r="F216" s="26"/>
      <c r="G216" s="28"/>
      <c r="H216" s="762"/>
      <c r="I216" s="763"/>
    </row>
    <row r="217" spans="1:27" s="680" customFormat="1">
      <c r="A217" s="767" t="s">
        <v>528</v>
      </c>
      <c r="B217" s="767"/>
      <c r="C217" s="767"/>
      <c r="D217" s="27">
        <f>SUM(D218+D226+D233)</f>
        <v>0</v>
      </c>
      <c r="E217" s="27">
        <f>SUM(E218+E226+E233)</f>
        <v>0</v>
      </c>
      <c r="F217" s="27">
        <f>SUM(F218+F226+F233)</f>
        <v>0</v>
      </c>
      <c r="G217" s="29">
        <v>0</v>
      </c>
      <c r="H217" s="762"/>
      <c r="I217" s="763"/>
      <c r="J217" s="678"/>
      <c r="K217" s="678"/>
      <c r="L217" s="678"/>
      <c r="M217" s="678"/>
      <c r="N217" s="678"/>
      <c r="O217" s="678"/>
      <c r="P217" s="679"/>
      <c r="Q217" s="679"/>
      <c r="R217" s="679"/>
      <c r="S217" s="679"/>
      <c r="T217" s="679"/>
      <c r="U217" s="679"/>
      <c r="V217" s="679"/>
      <c r="W217" s="679"/>
      <c r="X217" s="679"/>
      <c r="Y217" s="679"/>
      <c r="Z217" s="679"/>
      <c r="AA217" s="679"/>
    </row>
    <row r="218" spans="1:27" s="687" customFormat="1">
      <c r="A218" s="768" t="s">
        <v>530</v>
      </c>
      <c r="B218" s="768"/>
      <c r="C218" s="768"/>
      <c r="D218" s="32">
        <f>SUM(D219:D225)</f>
        <v>0</v>
      </c>
      <c r="E218" s="32">
        <f>SUM(E219:E225)</f>
        <v>0</v>
      </c>
      <c r="F218" s="32">
        <f>SUM(F219:F225)</f>
        <v>0</v>
      </c>
      <c r="G218" s="33">
        <v>0</v>
      </c>
      <c r="H218" s="762"/>
      <c r="I218" s="763"/>
      <c r="J218" s="678"/>
      <c r="K218" s="678"/>
      <c r="L218" s="678"/>
      <c r="M218" s="678"/>
      <c r="N218" s="678"/>
      <c r="O218" s="678"/>
      <c r="P218" s="679"/>
      <c r="Q218" s="679"/>
      <c r="R218" s="679"/>
      <c r="S218" s="679"/>
      <c r="T218" s="679"/>
      <c r="U218" s="679"/>
      <c r="V218" s="679"/>
      <c r="W218" s="679"/>
      <c r="X218" s="679"/>
      <c r="Y218" s="679"/>
      <c r="Z218" s="679"/>
      <c r="AA218" s="679"/>
    </row>
    <row r="219" spans="1:27">
      <c r="A219" s="766"/>
      <c r="B219" s="506">
        <v>107052</v>
      </c>
      <c r="C219" s="507" t="s">
        <v>518</v>
      </c>
      <c r="D219" s="26"/>
      <c r="E219" s="26"/>
      <c r="F219" s="26"/>
      <c r="G219" s="28"/>
      <c r="H219" s="762"/>
      <c r="I219" s="763"/>
    </row>
    <row r="220" spans="1:27">
      <c r="A220" s="766"/>
      <c r="B220" s="506">
        <v>107053</v>
      </c>
      <c r="C220" s="507" t="s">
        <v>519</v>
      </c>
      <c r="D220" s="26"/>
      <c r="E220" s="26"/>
      <c r="F220" s="26"/>
      <c r="G220" s="28"/>
      <c r="H220" s="762"/>
      <c r="I220" s="763"/>
    </row>
    <row r="221" spans="1:27">
      <c r="A221" s="766"/>
      <c r="B221" s="506">
        <v>107051</v>
      </c>
      <c r="C221" s="507" t="s">
        <v>194</v>
      </c>
      <c r="D221" s="26"/>
      <c r="E221" s="26"/>
      <c r="F221" s="26"/>
      <c r="G221" s="28"/>
      <c r="H221" s="762"/>
      <c r="I221" s="763"/>
    </row>
    <row r="222" spans="1:27">
      <c r="A222" s="766"/>
      <c r="B222" s="506">
        <v>102031</v>
      </c>
      <c r="C222" s="507" t="s">
        <v>520</v>
      </c>
      <c r="D222" s="26"/>
      <c r="E222" s="26"/>
      <c r="F222" s="26"/>
      <c r="G222" s="28"/>
      <c r="H222" s="762"/>
      <c r="I222" s="763"/>
    </row>
    <row r="223" spans="1:27">
      <c r="A223" s="766"/>
      <c r="B223" s="506">
        <v>107013</v>
      </c>
      <c r="C223" s="507" t="s">
        <v>532</v>
      </c>
      <c r="D223" s="26"/>
      <c r="E223" s="26"/>
      <c r="F223" s="26"/>
      <c r="G223" s="28"/>
      <c r="H223" s="762"/>
      <c r="I223" s="763"/>
    </row>
    <row r="224" spans="1:27">
      <c r="A224" s="766"/>
      <c r="B224" s="508" t="s">
        <v>510</v>
      </c>
      <c r="C224" s="507" t="s">
        <v>533</v>
      </c>
      <c r="D224" s="26"/>
      <c r="E224" s="26"/>
      <c r="F224" s="26"/>
      <c r="G224" s="28"/>
      <c r="H224" s="762"/>
      <c r="I224" s="763"/>
    </row>
    <row r="225" spans="1:27">
      <c r="A225" s="766"/>
      <c r="B225" s="508" t="s">
        <v>508</v>
      </c>
      <c r="C225" s="507" t="s">
        <v>516</v>
      </c>
      <c r="D225" s="26"/>
      <c r="E225" s="26"/>
      <c r="F225" s="26"/>
      <c r="G225" s="28"/>
      <c r="H225" s="762"/>
      <c r="I225" s="763"/>
    </row>
    <row r="226" spans="1:27" s="688" customFormat="1">
      <c r="A226" s="769" t="s">
        <v>529</v>
      </c>
      <c r="B226" s="769"/>
      <c r="C226" s="769"/>
      <c r="D226" s="36">
        <f>SUM(D228:D232)</f>
        <v>0</v>
      </c>
      <c r="E226" s="36">
        <f>SUM(E227:E232)</f>
        <v>0</v>
      </c>
      <c r="F226" s="36">
        <f>SUM(F227:F232)</f>
        <v>0</v>
      </c>
      <c r="G226" s="37">
        <v>0</v>
      </c>
      <c r="H226" s="762"/>
      <c r="I226" s="763"/>
      <c r="J226" s="678"/>
      <c r="K226" s="678"/>
      <c r="L226" s="678"/>
      <c r="M226" s="678"/>
      <c r="N226" s="678"/>
      <c r="O226" s="678"/>
      <c r="P226" s="679"/>
      <c r="Q226" s="679"/>
      <c r="R226" s="679"/>
      <c r="S226" s="679"/>
      <c r="T226" s="679"/>
      <c r="U226" s="679"/>
      <c r="V226" s="679"/>
      <c r="W226" s="679"/>
      <c r="X226" s="679"/>
      <c r="Y226" s="679"/>
      <c r="Z226" s="679"/>
      <c r="AA226" s="679"/>
    </row>
    <row r="227" spans="1:27">
      <c r="A227" s="766"/>
      <c r="B227" s="506">
        <v>104042</v>
      </c>
      <c r="C227" s="507" t="s">
        <v>522</v>
      </c>
      <c r="E227" s="26"/>
      <c r="F227" s="26"/>
      <c r="G227" s="28"/>
      <c r="H227" s="762"/>
      <c r="I227" s="763"/>
    </row>
    <row r="228" spans="1:27">
      <c r="A228" s="766"/>
      <c r="B228" s="506">
        <v>104043</v>
      </c>
      <c r="C228" s="507" t="s">
        <v>523</v>
      </c>
      <c r="D228" s="26"/>
      <c r="E228" s="26"/>
      <c r="F228" s="26"/>
      <c r="G228" s="28"/>
      <c r="H228" s="762"/>
      <c r="I228" s="763"/>
    </row>
    <row r="229" spans="1:27" ht="25.5">
      <c r="A229" s="766"/>
      <c r="B229" s="506">
        <v>104042</v>
      </c>
      <c r="C229" s="510" t="s">
        <v>1191</v>
      </c>
      <c r="D229" s="26"/>
      <c r="E229" s="26"/>
      <c r="F229" s="26"/>
      <c r="G229" s="28"/>
      <c r="H229" s="762"/>
      <c r="I229" s="763"/>
    </row>
    <row r="230" spans="1:27">
      <c r="A230" s="766"/>
      <c r="B230" s="506">
        <v>104043</v>
      </c>
      <c r="C230" s="511" t="s">
        <v>882</v>
      </c>
      <c r="D230" s="26"/>
      <c r="E230" s="26"/>
      <c r="F230" s="26"/>
      <c r="G230" s="28"/>
      <c r="H230" s="762"/>
      <c r="I230" s="763"/>
    </row>
    <row r="231" spans="1:27">
      <c r="A231" s="766"/>
      <c r="B231" s="508" t="s">
        <v>510</v>
      </c>
      <c r="C231" s="507" t="s">
        <v>533</v>
      </c>
      <c r="D231" s="26"/>
      <c r="E231" s="26"/>
      <c r="F231" s="26"/>
      <c r="G231" s="28"/>
      <c r="H231" s="762"/>
      <c r="I231" s="763"/>
    </row>
    <row r="232" spans="1:27">
      <c r="A232" s="766"/>
      <c r="B232" s="508" t="s">
        <v>508</v>
      </c>
      <c r="C232" s="507" t="s">
        <v>516</v>
      </c>
      <c r="D232" s="26"/>
      <c r="E232" s="26"/>
      <c r="F232" s="26"/>
      <c r="G232" s="28"/>
      <c r="H232" s="762"/>
      <c r="I232" s="763"/>
    </row>
    <row r="233" spans="1:27" s="689" customFormat="1">
      <c r="A233" s="770" t="s">
        <v>531</v>
      </c>
      <c r="B233" s="770"/>
      <c r="C233" s="770"/>
      <c r="D233" s="34">
        <f>SUM(D234:D239)</f>
        <v>0</v>
      </c>
      <c r="E233" s="34">
        <f>SUM(E234:E239)</f>
        <v>0</v>
      </c>
      <c r="F233" s="34">
        <f>SUM(F234:F239)</f>
        <v>0</v>
      </c>
      <c r="G233" s="35">
        <v>0</v>
      </c>
      <c r="H233" s="762"/>
      <c r="I233" s="763"/>
      <c r="J233" s="678"/>
      <c r="K233" s="678"/>
      <c r="L233" s="678"/>
      <c r="M233" s="678"/>
      <c r="N233" s="678"/>
      <c r="O233" s="678"/>
      <c r="P233" s="679"/>
      <c r="Q233" s="679"/>
      <c r="R233" s="679"/>
      <c r="S233" s="679"/>
      <c r="T233" s="679"/>
      <c r="U233" s="679"/>
      <c r="V233" s="679"/>
      <c r="W233" s="679"/>
      <c r="X233" s="679"/>
      <c r="Y233" s="679"/>
      <c r="Z233" s="679"/>
      <c r="AA233" s="679"/>
    </row>
    <row r="234" spans="1:27">
      <c r="A234" s="766"/>
      <c r="B234" s="506">
        <v>104031</v>
      </c>
      <c r="C234" s="507" t="s">
        <v>524</v>
      </c>
      <c r="D234" s="26"/>
      <c r="E234" s="26"/>
      <c r="F234" s="26"/>
      <c r="G234" s="28"/>
      <c r="H234" s="762"/>
      <c r="I234" s="763"/>
    </row>
    <row r="235" spans="1:27">
      <c r="A235" s="766"/>
      <c r="B235" s="506">
        <v>104035</v>
      </c>
      <c r="C235" s="507" t="s">
        <v>525</v>
      </c>
      <c r="D235" s="26"/>
      <c r="E235" s="26"/>
      <c r="F235" s="26"/>
      <c r="G235" s="28"/>
      <c r="H235" s="762"/>
      <c r="I235" s="763"/>
    </row>
    <row r="236" spans="1:27">
      <c r="A236" s="766"/>
      <c r="B236" s="506">
        <v>104036</v>
      </c>
      <c r="C236" s="507" t="s">
        <v>526</v>
      </c>
      <c r="D236" s="26"/>
      <c r="E236" s="26"/>
      <c r="F236" s="26"/>
      <c r="G236" s="28"/>
      <c r="H236" s="762"/>
      <c r="I236" s="763"/>
    </row>
    <row r="237" spans="1:27">
      <c r="A237" s="766"/>
      <c r="B237" s="506">
        <v>104037</v>
      </c>
      <c r="C237" s="507" t="s">
        <v>534</v>
      </c>
      <c r="D237" s="26"/>
      <c r="E237" s="26"/>
      <c r="F237" s="26"/>
      <c r="G237" s="28"/>
      <c r="H237" s="762"/>
      <c r="I237" s="763"/>
    </row>
    <row r="238" spans="1:27">
      <c r="A238" s="766"/>
      <c r="B238" s="508" t="s">
        <v>510</v>
      </c>
      <c r="C238" s="507" t="s">
        <v>533</v>
      </c>
      <c r="D238" s="26"/>
      <c r="E238" s="26"/>
      <c r="F238" s="26"/>
      <c r="G238" s="28"/>
      <c r="H238" s="762"/>
      <c r="I238" s="763"/>
    </row>
    <row r="239" spans="1:27">
      <c r="A239" s="766"/>
      <c r="B239" s="508" t="s">
        <v>508</v>
      </c>
      <c r="C239" s="507" t="s">
        <v>516</v>
      </c>
      <c r="D239" s="26"/>
      <c r="E239" s="26"/>
      <c r="F239" s="26"/>
      <c r="G239" s="28"/>
      <c r="H239" s="762"/>
      <c r="I239" s="763"/>
    </row>
    <row r="240" spans="1:27">
      <c r="A240" s="773"/>
      <c r="B240" s="773"/>
      <c r="C240" s="773"/>
      <c r="D240" s="773"/>
      <c r="E240" s="773"/>
      <c r="F240" s="773"/>
      <c r="G240" s="773"/>
      <c r="H240" s="773"/>
      <c r="I240" s="773"/>
    </row>
    <row r="241" spans="1:27">
      <c r="A241" s="773"/>
      <c r="B241" s="773"/>
      <c r="C241" s="773"/>
      <c r="D241" s="773"/>
      <c r="E241" s="773"/>
      <c r="F241" s="773"/>
      <c r="G241" s="773"/>
      <c r="H241" s="773"/>
      <c r="I241" s="773"/>
    </row>
    <row r="242" spans="1:27" s="685" customFormat="1" ht="15.75">
      <c r="A242" s="761" t="s">
        <v>888</v>
      </c>
      <c r="B242" s="761"/>
      <c r="C242" s="761"/>
      <c r="D242" s="38">
        <f>SUM(D244+D263)</f>
        <v>842530</v>
      </c>
      <c r="E242" s="38">
        <f>SUM(E244+E263)</f>
        <v>1083231</v>
      </c>
      <c r="F242" s="38">
        <f>SUM(F244+F263)</f>
        <v>1052307</v>
      </c>
      <c r="G242" s="39">
        <f>ROUND(F242/E242*100,2)</f>
        <v>97.15</v>
      </c>
      <c r="H242" s="762"/>
      <c r="I242" s="763"/>
      <c r="J242" s="683"/>
      <c r="K242" s="683"/>
      <c r="L242" s="683"/>
      <c r="M242" s="683"/>
      <c r="N242" s="683"/>
      <c r="O242" s="683"/>
      <c r="P242" s="684"/>
      <c r="Q242" s="684"/>
      <c r="R242" s="684"/>
      <c r="S242" s="684"/>
      <c r="T242" s="684"/>
      <c r="U242" s="684"/>
      <c r="V242" s="684"/>
      <c r="W242" s="684"/>
      <c r="X242" s="684"/>
      <c r="Y242" s="684"/>
      <c r="Z242" s="684"/>
      <c r="AA242" s="684"/>
    </row>
    <row r="243" spans="1:27" s="680" customFormat="1">
      <c r="A243" s="764" t="s">
        <v>1</v>
      </c>
      <c r="B243" s="764"/>
      <c r="C243" s="764"/>
      <c r="D243" s="27">
        <f>SUM(D244)</f>
        <v>27534</v>
      </c>
      <c r="E243" s="27">
        <f>SUM(E244)</f>
        <v>27534</v>
      </c>
      <c r="F243" s="27">
        <f>SUM(F244)</f>
        <v>0</v>
      </c>
      <c r="G243" s="29">
        <f t="shared" ref="G243:G244" si="17">ROUND(F243/E243*100,2)</f>
        <v>0</v>
      </c>
      <c r="H243" s="762"/>
      <c r="I243" s="763"/>
      <c r="J243" s="678"/>
      <c r="K243" s="678"/>
      <c r="L243" s="678"/>
      <c r="M243" s="678"/>
      <c r="N243" s="678"/>
      <c r="O243" s="678"/>
      <c r="P243" s="679"/>
      <c r="Q243" s="679"/>
      <c r="R243" s="679"/>
      <c r="S243" s="679"/>
      <c r="T243" s="679"/>
      <c r="U243" s="679"/>
      <c r="V243" s="679"/>
      <c r="W243" s="679"/>
      <c r="X243" s="679"/>
      <c r="Y243" s="679"/>
      <c r="Z243" s="679"/>
      <c r="AA243" s="679"/>
    </row>
    <row r="244" spans="1:27" s="686" customFormat="1">
      <c r="A244" s="765" t="s">
        <v>527</v>
      </c>
      <c r="B244" s="765"/>
      <c r="C244" s="765"/>
      <c r="D244" s="30">
        <f>SUM(D245:D262)</f>
        <v>27534</v>
      </c>
      <c r="E244" s="30">
        <f>SUM(E245:E262)</f>
        <v>27534</v>
      </c>
      <c r="F244" s="30">
        <f>SUM(F245:F262)</f>
        <v>0</v>
      </c>
      <c r="G244" s="31">
        <f t="shared" si="17"/>
        <v>0</v>
      </c>
      <c r="H244" s="762"/>
      <c r="I244" s="763"/>
      <c r="J244" s="678"/>
      <c r="K244" s="678"/>
      <c r="L244" s="678"/>
      <c r="M244" s="678"/>
      <c r="N244" s="678"/>
      <c r="O244" s="678"/>
      <c r="P244" s="679"/>
      <c r="Q244" s="679"/>
      <c r="R244" s="679"/>
      <c r="S244" s="679"/>
      <c r="T244" s="679"/>
      <c r="U244" s="679"/>
      <c r="V244" s="679"/>
      <c r="W244" s="679"/>
      <c r="X244" s="679"/>
      <c r="Y244" s="679"/>
      <c r="Z244" s="679"/>
      <c r="AA244" s="679"/>
    </row>
    <row r="245" spans="1:27">
      <c r="A245" s="766"/>
      <c r="B245" s="508" t="s">
        <v>506</v>
      </c>
      <c r="C245" s="507" t="s">
        <v>512</v>
      </c>
      <c r="D245" s="26"/>
      <c r="E245" s="26"/>
      <c r="F245" s="26"/>
      <c r="G245" s="28"/>
      <c r="H245" s="762"/>
      <c r="I245" s="763"/>
    </row>
    <row r="246" spans="1:27">
      <c r="A246" s="766"/>
      <c r="B246" s="508" t="s">
        <v>507</v>
      </c>
      <c r="C246" s="507" t="s">
        <v>517</v>
      </c>
      <c r="D246" s="26"/>
      <c r="E246" s="26"/>
      <c r="F246" s="26"/>
      <c r="G246" s="28"/>
      <c r="H246" s="762"/>
      <c r="I246" s="763"/>
    </row>
    <row r="247" spans="1:27" ht="25.5">
      <c r="A247" s="766"/>
      <c r="B247" s="509" t="s">
        <v>884</v>
      </c>
      <c r="C247" s="510" t="s">
        <v>1191</v>
      </c>
      <c r="D247" s="26">
        <v>27534</v>
      </c>
      <c r="E247" s="26">
        <v>27534</v>
      </c>
      <c r="F247" s="26">
        <v>0</v>
      </c>
      <c r="G247" s="28">
        <f>ROUND(F247/E247*100,2)</f>
        <v>0</v>
      </c>
      <c r="H247" s="762"/>
      <c r="I247" s="763"/>
    </row>
    <row r="248" spans="1:27" ht="25.5">
      <c r="A248" s="766"/>
      <c r="B248" s="509" t="s">
        <v>961</v>
      </c>
      <c r="C248" s="510" t="s">
        <v>962</v>
      </c>
      <c r="D248" s="26"/>
      <c r="E248" s="26"/>
      <c r="F248" s="26"/>
      <c r="G248" s="28"/>
      <c r="H248" s="762"/>
      <c r="I248" s="763"/>
    </row>
    <row r="249" spans="1:27">
      <c r="A249" s="766"/>
      <c r="B249" s="508" t="s">
        <v>513</v>
      </c>
      <c r="C249" s="507" t="s">
        <v>514</v>
      </c>
      <c r="D249" s="26"/>
      <c r="E249" s="26"/>
      <c r="F249" s="26"/>
      <c r="G249" s="28"/>
      <c r="H249" s="762"/>
      <c r="I249" s="763"/>
    </row>
    <row r="250" spans="1:27">
      <c r="A250" s="766"/>
      <c r="B250" s="508" t="s">
        <v>508</v>
      </c>
      <c r="C250" s="507" t="s">
        <v>516</v>
      </c>
      <c r="D250" s="26"/>
      <c r="E250" s="26"/>
      <c r="F250" s="26"/>
      <c r="G250" s="28"/>
      <c r="H250" s="762"/>
      <c r="I250" s="763"/>
    </row>
    <row r="251" spans="1:27">
      <c r="A251" s="766"/>
      <c r="B251" s="508" t="s">
        <v>509</v>
      </c>
      <c r="C251" s="507" t="s">
        <v>511</v>
      </c>
      <c r="D251" s="26"/>
      <c r="E251" s="26"/>
      <c r="F251" s="26"/>
      <c r="G251" s="28"/>
      <c r="H251" s="762"/>
      <c r="I251" s="763"/>
    </row>
    <row r="252" spans="1:27">
      <c r="A252" s="766"/>
      <c r="B252" s="506">
        <v>107052</v>
      </c>
      <c r="C252" s="507" t="s">
        <v>518</v>
      </c>
      <c r="D252" s="26"/>
      <c r="E252" s="26"/>
      <c r="F252" s="26"/>
      <c r="G252" s="28"/>
      <c r="H252" s="762"/>
      <c r="I252" s="763"/>
    </row>
    <row r="253" spans="1:27">
      <c r="A253" s="766"/>
      <c r="B253" s="506">
        <v>107051</v>
      </c>
      <c r="C253" s="507" t="s">
        <v>194</v>
      </c>
      <c r="D253" s="26"/>
      <c r="E253" s="26"/>
      <c r="F253" s="26"/>
      <c r="G253" s="28"/>
      <c r="H253" s="762"/>
      <c r="I253" s="763"/>
    </row>
    <row r="254" spans="1:27">
      <c r="A254" s="766"/>
      <c r="B254" s="506">
        <v>107053</v>
      </c>
      <c r="C254" s="507" t="s">
        <v>519</v>
      </c>
      <c r="D254" s="26"/>
      <c r="E254" s="26"/>
      <c r="F254" s="26"/>
      <c r="G254" s="28"/>
      <c r="H254" s="762"/>
      <c r="I254" s="763"/>
    </row>
    <row r="255" spans="1:27">
      <c r="A255" s="766"/>
      <c r="B255" s="506">
        <v>102031</v>
      </c>
      <c r="C255" s="507" t="s">
        <v>520</v>
      </c>
      <c r="D255" s="26"/>
      <c r="E255" s="26"/>
      <c r="F255" s="26"/>
      <c r="G255" s="28"/>
      <c r="H255" s="762"/>
      <c r="I255" s="763"/>
    </row>
    <row r="256" spans="1:27">
      <c r="A256" s="766"/>
      <c r="B256" s="506">
        <v>107013</v>
      </c>
      <c r="C256" s="507" t="s">
        <v>521</v>
      </c>
      <c r="D256" s="26"/>
      <c r="E256" s="26"/>
      <c r="F256" s="26"/>
      <c r="G256" s="28"/>
      <c r="H256" s="762"/>
      <c r="I256" s="763"/>
    </row>
    <row r="257" spans="1:27">
      <c r="A257" s="766"/>
      <c r="B257" s="506">
        <v>104042</v>
      </c>
      <c r="C257" s="507" t="s">
        <v>522</v>
      </c>
      <c r="D257" s="26"/>
      <c r="E257" s="26"/>
      <c r="F257" s="26"/>
      <c r="G257" s="28"/>
      <c r="H257" s="762"/>
      <c r="I257" s="763"/>
    </row>
    <row r="258" spans="1:27">
      <c r="A258" s="766"/>
      <c r="B258" s="508" t="s">
        <v>848</v>
      </c>
      <c r="C258" s="507" t="s">
        <v>874</v>
      </c>
      <c r="D258" s="26"/>
      <c r="E258" s="26"/>
      <c r="F258" s="26"/>
      <c r="G258" s="28"/>
      <c r="H258" s="762"/>
      <c r="I258" s="763"/>
    </row>
    <row r="259" spans="1:27">
      <c r="A259" s="766"/>
      <c r="B259" s="506">
        <v>104043</v>
      </c>
      <c r="C259" s="507" t="s">
        <v>523</v>
      </c>
      <c r="D259" s="26"/>
      <c r="E259" s="26"/>
      <c r="F259" s="26"/>
      <c r="G259" s="29"/>
      <c r="H259" s="762"/>
      <c r="I259" s="763"/>
    </row>
    <row r="260" spans="1:27">
      <c r="A260" s="766"/>
      <c r="B260" s="506">
        <v>104031</v>
      </c>
      <c r="C260" s="507" t="s">
        <v>524</v>
      </c>
      <c r="D260" s="26"/>
      <c r="E260" s="26"/>
      <c r="F260" s="26"/>
      <c r="G260" s="29"/>
      <c r="H260" s="762"/>
      <c r="I260" s="763"/>
    </row>
    <row r="261" spans="1:27">
      <c r="A261" s="766"/>
      <c r="B261" s="506">
        <v>104035</v>
      </c>
      <c r="C261" s="507" t="s">
        <v>525</v>
      </c>
      <c r="D261" s="26"/>
      <c r="E261" s="26"/>
      <c r="F261" s="26"/>
      <c r="G261" s="29"/>
      <c r="H261" s="762"/>
      <c r="I261" s="763"/>
    </row>
    <row r="262" spans="1:27">
      <c r="A262" s="766"/>
      <c r="B262" s="506">
        <v>104036</v>
      </c>
      <c r="C262" s="507" t="s">
        <v>526</v>
      </c>
      <c r="D262" s="26"/>
      <c r="E262" s="26"/>
      <c r="F262" s="26"/>
      <c r="G262" s="29"/>
      <c r="H262" s="762"/>
      <c r="I262" s="763"/>
    </row>
    <row r="263" spans="1:27" s="680" customFormat="1">
      <c r="A263" s="767" t="s">
        <v>528</v>
      </c>
      <c r="B263" s="767"/>
      <c r="C263" s="767"/>
      <c r="D263" s="27">
        <f>SUM(D264+D272+D279)</f>
        <v>814996</v>
      </c>
      <c r="E263" s="27">
        <f>SUM(E264+E272+E279)</f>
        <v>1055697</v>
      </c>
      <c r="F263" s="27">
        <f>SUM(F264+F272+F279)</f>
        <v>1052307</v>
      </c>
      <c r="G263" s="29">
        <f>ROUND(F263/E263*100,2)</f>
        <v>99.68</v>
      </c>
      <c r="H263" s="762"/>
      <c r="I263" s="763"/>
      <c r="J263" s="678"/>
      <c r="K263" s="678"/>
      <c r="L263" s="678"/>
      <c r="M263" s="678"/>
      <c r="N263" s="678"/>
      <c r="O263" s="678"/>
      <c r="P263" s="679"/>
      <c r="Q263" s="679"/>
      <c r="R263" s="679"/>
      <c r="S263" s="679"/>
      <c r="T263" s="679"/>
      <c r="U263" s="679"/>
      <c r="V263" s="679"/>
      <c r="W263" s="679"/>
      <c r="X263" s="679"/>
      <c r="Y263" s="679"/>
      <c r="Z263" s="679"/>
      <c r="AA263" s="679"/>
    </row>
    <row r="264" spans="1:27" s="687" customFormat="1">
      <c r="A264" s="768" t="s">
        <v>530</v>
      </c>
      <c r="B264" s="768"/>
      <c r="C264" s="768"/>
      <c r="D264" s="32">
        <f>SUM(D265:D271)</f>
        <v>450000</v>
      </c>
      <c r="E264" s="32">
        <f>SUM(E265:E271)</f>
        <v>450000</v>
      </c>
      <c r="F264" s="32">
        <f>SUM(F265:F271)</f>
        <v>449997</v>
      </c>
      <c r="G264" s="444">
        <f>ROUND(F264/E264*100,2)</f>
        <v>100</v>
      </c>
      <c r="H264" s="762"/>
      <c r="I264" s="763"/>
      <c r="J264" s="678"/>
      <c r="K264" s="678"/>
      <c r="L264" s="678"/>
      <c r="M264" s="678"/>
      <c r="N264" s="678"/>
      <c r="O264" s="678"/>
      <c r="P264" s="679"/>
      <c r="Q264" s="679"/>
      <c r="R264" s="679"/>
      <c r="S264" s="679"/>
      <c r="T264" s="679"/>
      <c r="U264" s="679"/>
      <c r="V264" s="679"/>
      <c r="W264" s="679"/>
      <c r="X264" s="679"/>
      <c r="Y264" s="679"/>
      <c r="Z264" s="679"/>
      <c r="AA264" s="679"/>
    </row>
    <row r="265" spans="1:27">
      <c r="A265" s="766"/>
      <c r="B265" s="506">
        <v>107052</v>
      </c>
      <c r="C265" s="507" t="s">
        <v>518</v>
      </c>
      <c r="D265" s="26">
        <v>450000</v>
      </c>
      <c r="E265" s="26">
        <v>254001</v>
      </c>
      <c r="F265" s="26">
        <v>253998</v>
      </c>
      <c r="G265" s="28">
        <f>ROUND(F265/E265*100,2)</f>
        <v>100</v>
      </c>
      <c r="H265" s="762"/>
      <c r="I265" s="763"/>
    </row>
    <row r="266" spans="1:27">
      <c r="A266" s="766"/>
      <c r="B266" s="506">
        <v>107053</v>
      </c>
      <c r="C266" s="507" t="s">
        <v>519</v>
      </c>
      <c r="D266" s="26"/>
      <c r="E266" s="26"/>
      <c r="F266" s="26"/>
      <c r="G266" s="28"/>
      <c r="H266" s="762"/>
      <c r="I266" s="763"/>
    </row>
    <row r="267" spans="1:27">
      <c r="A267" s="766"/>
      <c r="B267" s="506">
        <v>107051</v>
      </c>
      <c r="C267" s="507" t="s">
        <v>194</v>
      </c>
      <c r="D267" s="26"/>
      <c r="E267" s="26"/>
      <c r="F267" s="26"/>
      <c r="G267" s="28"/>
      <c r="H267" s="762"/>
      <c r="I267" s="763"/>
    </row>
    <row r="268" spans="1:27">
      <c r="A268" s="766"/>
      <c r="B268" s="506">
        <v>102031</v>
      </c>
      <c r="C268" s="507" t="s">
        <v>520</v>
      </c>
      <c r="D268" s="26">
        <v>0</v>
      </c>
      <c r="E268" s="26">
        <v>195999</v>
      </c>
      <c r="F268" s="26">
        <v>195999</v>
      </c>
      <c r="G268" s="28">
        <f>ROUND(F268/E268*100,2)</f>
        <v>100</v>
      </c>
      <c r="H268" s="762"/>
      <c r="I268" s="763"/>
    </row>
    <row r="269" spans="1:27">
      <c r="A269" s="766"/>
      <c r="B269" s="506">
        <v>107013</v>
      </c>
      <c r="C269" s="507" t="s">
        <v>532</v>
      </c>
      <c r="D269" s="26"/>
      <c r="E269" s="26"/>
      <c r="F269" s="26"/>
      <c r="G269" s="28"/>
      <c r="H269" s="762"/>
      <c r="I269" s="763"/>
    </row>
    <row r="270" spans="1:27">
      <c r="A270" s="766"/>
      <c r="B270" s="508" t="s">
        <v>510</v>
      </c>
      <c r="C270" s="507" t="s">
        <v>533</v>
      </c>
      <c r="D270" s="26"/>
      <c r="E270" s="26"/>
      <c r="F270" s="26"/>
      <c r="G270" s="28"/>
      <c r="H270" s="762"/>
      <c r="I270" s="763"/>
    </row>
    <row r="271" spans="1:27">
      <c r="A271" s="766"/>
      <c r="B271" s="508" t="s">
        <v>508</v>
      </c>
      <c r="C271" s="507" t="s">
        <v>516</v>
      </c>
      <c r="D271" s="26"/>
      <c r="E271" s="26"/>
      <c r="F271" s="26"/>
      <c r="G271" s="28"/>
      <c r="H271" s="762"/>
      <c r="I271" s="763"/>
    </row>
    <row r="272" spans="1:27" s="688" customFormat="1">
      <c r="A272" s="769" t="s">
        <v>529</v>
      </c>
      <c r="B272" s="769"/>
      <c r="C272" s="769"/>
      <c r="D272" s="36">
        <f>SUM(D273:D278)</f>
        <v>254750</v>
      </c>
      <c r="E272" s="36">
        <f>SUM(E273:E278)</f>
        <v>495451</v>
      </c>
      <c r="F272" s="36">
        <f>SUM(F273:F278)</f>
        <v>492110</v>
      </c>
      <c r="G272" s="37">
        <f>ROUND(F272/E272*100,2)</f>
        <v>99.33</v>
      </c>
      <c r="H272" s="762"/>
      <c r="I272" s="763"/>
      <c r="J272" s="678"/>
      <c r="K272" s="678"/>
      <c r="L272" s="678"/>
      <c r="M272" s="678"/>
      <c r="N272" s="678"/>
      <c r="O272" s="678"/>
      <c r="P272" s="679"/>
      <c r="Q272" s="679"/>
      <c r="R272" s="679"/>
      <c r="S272" s="679"/>
      <c r="T272" s="679"/>
      <c r="U272" s="679"/>
      <c r="V272" s="679"/>
      <c r="W272" s="679"/>
      <c r="X272" s="679"/>
      <c r="Y272" s="679"/>
      <c r="Z272" s="679"/>
      <c r="AA272" s="679"/>
    </row>
    <row r="273" spans="1:27">
      <c r="A273" s="766"/>
      <c r="B273" s="506">
        <v>104042</v>
      </c>
      <c r="C273" s="507" t="s">
        <v>522</v>
      </c>
      <c r="D273" s="464">
        <v>125000</v>
      </c>
      <c r="E273" s="464">
        <v>246055</v>
      </c>
      <c r="F273" s="464">
        <v>246055</v>
      </c>
      <c r="G273" s="28">
        <f>ROUND(F273/E273*100,2)</f>
        <v>100</v>
      </c>
      <c r="H273" s="762"/>
      <c r="I273" s="763"/>
    </row>
    <row r="274" spans="1:27">
      <c r="A274" s="766"/>
      <c r="B274" s="506">
        <v>104043</v>
      </c>
      <c r="C274" s="507" t="s">
        <v>523</v>
      </c>
      <c r="D274" s="464">
        <v>125000</v>
      </c>
      <c r="E274" s="464">
        <v>0</v>
      </c>
      <c r="F274" s="498">
        <v>0</v>
      </c>
      <c r="G274" s="28">
        <v>0</v>
      </c>
      <c r="H274" s="762"/>
      <c r="I274" s="763"/>
    </row>
    <row r="275" spans="1:27" ht="25.5">
      <c r="A275" s="766"/>
      <c r="B275" s="506">
        <v>104042</v>
      </c>
      <c r="C275" s="510" t="s">
        <v>1191</v>
      </c>
      <c r="D275" s="26">
        <v>4750</v>
      </c>
      <c r="E275" s="26">
        <v>3341</v>
      </c>
      <c r="F275" s="26">
        <v>0</v>
      </c>
      <c r="G275" s="28">
        <f>ROUND(F275/E275*100,2)</f>
        <v>0</v>
      </c>
      <c r="H275" s="762"/>
      <c r="I275" s="763"/>
    </row>
    <row r="276" spans="1:27">
      <c r="A276" s="766"/>
      <c r="B276" s="506">
        <v>104043</v>
      </c>
      <c r="C276" s="507" t="s">
        <v>882</v>
      </c>
      <c r="D276" s="27">
        <v>0</v>
      </c>
      <c r="E276" s="464">
        <v>246055</v>
      </c>
      <c r="F276" s="464">
        <v>246055</v>
      </c>
      <c r="G276" s="28">
        <f t="shared" ref="G276" si="18">ROUND(F276/E276*100,2)</f>
        <v>100</v>
      </c>
      <c r="H276" s="762"/>
      <c r="I276" s="763"/>
    </row>
    <row r="277" spans="1:27">
      <c r="A277" s="766"/>
      <c r="B277" s="508" t="s">
        <v>510</v>
      </c>
      <c r="C277" s="507" t="s">
        <v>533</v>
      </c>
      <c r="D277" s="26"/>
      <c r="E277" s="26"/>
      <c r="F277" s="26"/>
      <c r="G277" s="28">
        <v>0</v>
      </c>
      <c r="H277" s="762"/>
      <c r="I277" s="763"/>
    </row>
    <row r="278" spans="1:27">
      <c r="A278" s="766"/>
      <c r="B278" s="508" t="s">
        <v>508</v>
      </c>
      <c r="C278" s="507" t="s">
        <v>516</v>
      </c>
      <c r="D278" s="26"/>
      <c r="E278" s="26"/>
      <c r="F278" s="26"/>
      <c r="G278" s="28">
        <v>0</v>
      </c>
      <c r="H278" s="762"/>
      <c r="I278" s="763"/>
    </row>
    <row r="279" spans="1:27" s="689" customFormat="1">
      <c r="A279" s="770" t="s">
        <v>531</v>
      </c>
      <c r="B279" s="770"/>
      <c r="C279" s="770"/>
      <c r="D279" s="34">
        <f>SUM(D280:D285)</f>
        <v>110246</v>
      </c>
      <c r="E279" s="34">
        <f>SUM(E280:E285)</f>
        <v>110246</v>
      </c>
      <c r="F279" s="34">
        <f>SUM(F280:F285)</f>
        <v>110200</v>
      </c>
      <c r="G279" s="35">
        <f>ROUND(F279/E279*100,2)</f>
        <v>99.96</v>
      </c>
      <c r="H279" s="762"/>
      <c r="I279" s="763"/>
      <c r="J279" s="678"/>
      <c r="K279" s="678"/>
      <c r="L279" s="678"/>
      <c r="M279" s="678"/>
      <c r="N279" s="678"/>
      <c r="O279" s="678"/>
      <c r="P279" s="679"/>
      <c r="Q279" s="679"/>
      <c r="R279" s="679"/>
      <c r="S279" s="679"/>
      <c r="T279" s="679"/>
      <c r="U279" s="679"/>
      <c r="V279" s="679"/>
      <c r="W279" s="679"/>
      <c r="X279" s="679"/>
      <c r="Y279" s="679"/>
      <c r="Z279" s="679"/>
      <c r="AA279" s="679"/>
    </row>
    <row r="280" spans="1:27">
      <c r="A280" s="766"/>
      <c r="B280" s="506">
        <v>104031</v>
      </c>
      <c r="C280" s="507" t="s">
        <v>524</v>
      </c>
      <c r="D280" s="26">
        <v>110246</v>
      </c>
      <c r="E280" s="26">
        <v>110246</v>
      </c>
      <c r="F280" s="26">
        <v>110200</v>
      </c>
      <c r="G280" s="28">
        <f>ROUND(F280/E280*100,2)</f>
        <v>99.96</v>
      </c>
      <c r="H280" s="762"/>
      <c r="I280" s="763"/>
    </row>
    <row r="281" spans="1:27">
      <c r="A281" s="766"/>
      <c r="B281" s="506">
        <v>104035</v>
      </c>
      <c r="C281" s="507" t="s">
        <v>525</v>
      </c>
      <c r="D281" s="26"/>
      <c r="E281" s="26"/>
      <c r="F281" s="26"/>
      <c r="G281" s="28"/>
      <c r="H281" s="762"/>
      <c r="I281" s="763"/>
    </row>
    <row r="282" spans="1:27">
      <c r="A282" s="766"/>
      <c r="B282" s="506">
        <v>104036</v>
      </c>
      <c r="C282" s="507" t="s">
        <v>526</v>
      </c>
      <c r="D282" s="26"/>
      <c r="E282" s="26"/>
      <c r="F282" s="26"/>
      <c r="G282" s="28"/>
      <c r="H282" s="762"/>
      <c r="I282" s="763"/>
    </row>
    <row r="283" spans="1:27">
      <c r="A283" s="766"/>
      <c r="B283" s="506">
        <v>104037</v>
      </c>
      <c r="C283" s="507" t="s">
        <v>534</v>
      </c>
      <c r="D283" s="26"/>
      <c r="E283" s="26"/>
      <c r="F283" s="26"/>
      <c r="G283" s="28"/>
      <c r="H283" s="762"/>
      <c r="I283" s="763"/>
    </row>
    <row r="284" spans="1:27">
      <c r="A284" s="766"/>
      <c r="B284" s="508" t="s">
        <v>510</v>
      </c>
      <c r="C284" s="507" t="s">
        <v>533</v>
      </c>
      <c r="D284" s="26"/>
      <c r="E284" s="26"/>
      <c r="F284" s="26"/>
      <c r="G284" s="28"/>
      <c r="H284" s="762"/>
      <c r="I284" s="763"/>
    </row>
    <row r="285" spans="1:27">
      <c r="A285" s="766"/>
      <c r="B285" s="508" t="s">
        <v>508</v>
      </c>
      <c r="C285" s="507" t="s">
        <v>516</v>
      </c>
      <c r="D285" s="26"/>
      <c r="E285" s="26"/>
      <c r="F285" s="26"/>
      <c r="G285" s="28"/>
      <c r="H285" s="762"/>
      <c r="I285" s="763"/>
    </row>
    <row r="286" spans="1:27">
      <c r="A286" s="681"/>
      <c r="B286" s="682"/>
      <c r="C286" s="681"/>
      <c r="D286" s="681"/>
      <c r="E286" s="681"/>
      <c r="F286" s="681"/>
      <c r="G286" s="681"/>
      <c r="H286" s="681"/>
      <c r="I286" s="681"/>
    </row>
    <row r="287" spans="1:27">
      <c r="A287" s="681"/>
      <c r="B287" s="682"/>
      <c r="C287" s="681"/>
      <c r="D287" s="681"/>
      <c r="E287" s="681"/>
      <c r="F287" s="681"/>
      <c r="G287" s="681"/>
      <c r="H287" s="681"/>
      <c r="I287" s="681"/>
    </row>
    <row r="288" spans="1:27" s="685" customFormat="1" ht="15.75">
      <c r="A288" s="761" t="s">
        <v>889</v>
      </c>
      <c r="B288" s="761"/>
      <c r="C288" s="761"/>
      <c r="D288" s="38">
        <f>SUM(D290+D309)</f>
        <v>2024233</v>
      </c>
      <c r="E288" s="38">
        <f>SUM(E290+E309)</f>
        <v>2024233</v>
      </c>
      <c r="F288" s="38">
        <f>SUM(F290+F309)</f>
        <v>1877856</v>
      </c>
      <c r="G288" s="39">
        <f>ROUND(F288/E288*100,2)</f>
        <v>92.77</v>
      </c>
      <c r="H288" s="762"/>
      <c r="I288" s="763"/>
      <c r="J288" s="683"/>
      <c r="K288" s="683"/>
      <c r="L288" s="683"/>
      <c r="M288" s="683"/>
      <c r="N288" s="683"/>
      <c r="O288" s="683"/>
      <c r="P288" s="684"/>
      <c r="Q288" s="684"/>
      <c r="R288" s="684"/>
      <c r="S288" s="684"/>
      <c r="T288" s="684"/>
      <c r="U288" s="684"/>
      <c r="V288" s="684"/>
      <c r="W288" s="684"/>
      <c r="X288" s="684"/>
      <c r="Y288" s="684"/>
      <c r="Z288" s="684"/>
      <c r="AA288" s="684"/>
    </row>
    <row r="289" spans="1:27" s="680" customFormat="1" ht="15.75">
      <c r="A289" s="764" t="s">
        <v>1</v>
      </c>
      <c r="B289" s="764"/>
      <c r="C289" s="764"/>
      <c r="D289" s="27">
        <f>SUM(D290)</f>
        <v>2024233</v>
      </c>
      <c r="E289" s="27">
        <f>SUM(E290)</f>
        <v>2024233</v>
      </c>
      <c r="F289" s="27">
        <f>SUM(F290)</f>
        <v>1877856</v>
      </c>
      <c r="G289" s="445">
        <f>ROUND(F289/E289*100,2)</f>
        <v>92.77</v>
      </c>
      <c r="H289" s="762"/>
      <c r="I289" s="763"/>
      <c r="J289" s="690"/>
      <c r="K289" s="678"/>
      <c r="L289" s="678"/>
      <c r="M289" s="678"/>
      <c r="N289" s="678"/>
      <c r="O289" s="678"/>
      <c r="P289" s="679"/>
      <c r="Q289" s="679"/>
      <c r="R289" s="679"/>
      <c r="S289" s="679"/>
      <c r="T289" s="679"/>
      <c r="U289" s="679"/>
      <c r="V289" s="679"/>
      <c r="W289" s="679"/>
      <c r="X289" s="679"/>
      <c r="Y289" s="679"/>
      <c r="Z289" s="679"/>
      <c r="AA289" s="679"/>
    </row>
    <row r="290" spans="1:27" s="686" customFormat="1">
      <c r="A290" s="765" t="s">
        <v>527</v>
      </c>
      <c r="B290" s="765"/>
      <c r="C290" s="765"/>
      <c r="D290" s="30">
        <f>SUM(D291:D308)</f>
        <v>2024233</v>
      </c>
      <c r="E290" s="30">
        <f>SUM(E291:E308)</f>
        <v>2024233</v>
      </c>
      <c r="F290" s="30">
        <f>SUM(F291:F308)</f>
        <v>1877856</v>
      </c>
      <c r="G290" s="446">
        <f>ROUND(F290/E290*100,2)</f>
        <v>92.77</v>
      </c>
      <c r="H290" s="762"/>
      <c r="I290" s="763"/>
      <c r="J290" s="678"/>
      <c r="K290" s="678"/>
      <c r="L290" s="678"/>
      <c r="M290" s="678"/>
      <c r="N290" s="678"/>
      <c r="O290" s="678"/>
      <c r="P290" s="679"/>
      <c r="Q290" s="679"/>
      <c r="R290" s="679"/>
      <c r="S290" s="679"/>
      <c r="T290" s="679"/>
      <c r="U290" s="679"/>
      <c r="V290" s="679"/>
      <c r="W290" s="679"/>
      <c r="X290" s="679"/>
      <c r="Y290" s="679"/>
      <c r="Z290" s="679"/>
      <c r="AA290" s="679"/>
    </row>
    <row r="291" spans="1:27">
      <c r="A291" s="766"/>
      <c r="B291" s="508" t="s">
        <v>506</v>
      </c>
      <c r="C291" s="507" t="s">
        <v>512</v>
      </c>
      <c r="D291" s="26"/>
      <c r="E291" s="26"/>
      <c r="F291" s="26"/>
      <c r="G291" s="28"/>
      <c r="H291" s="762"/>
      <c r="I291" s="763"/>
    </row>
    <row r="292" spans="1:27">
      <c r="A292" s="766"/>
      <c r="B292" s="508" t="s">
        <v>507</v>
      </c>
      <c r="C292" s="507" t="s">
        <v>517</v>
      </c>
      <c r="D292" s="26"/>
      <c r="E292" s="26"/>
      <c r="F292" s="26"/>
      <c r="G292" s="28"/>
      <c r="H292" s="762"/>
      <c r="I292" s="763"/>
    </row>
    <row r="293" spans="1:27" ht="25.5">
      <c r="A293" s="766"/>
      <c r="B293" s="509" t="s">
        <v>884</v>
      </c>
      <c r="C293" s="510" t="s">
        <v>1191</v>
      </c>
      <c r="D293" s="443">
        <v>2024233</v>
      </c>
      <c r="E293" s="443">
        <v>2024233</v>
      </c>
      <c r="F293" s="443">
        <v>1877856</v>
      </c>
      <c r="G293" s="461">
        <f>ROUND(F293/E293*100,2)</f>
        <v>92.77</v>
      </c>
      <c r="H293" s="762"/>
      <c r="I293" s="763"/>
    </row>
    <row r="294" spans="1:27" ht="25.5">
      <c r="A294" s="766"/>
      <c r="B294" s="509" t="s">
        <v>961</v>
      </c>
      <c r="C294" s="510" t="s">
        <v>962</v>
      </c>
      <c r="D294" s="443"/>
      <c r="E294" s="443"/>
      <c r="F294" s="443"/>
      <c r="G294" s="461"/>
      <c r="H294" s="762"/>
      <c r="I294" s="763"/>
    </row>
    <row r="295" spans="1:27">
      <c r="A295" s="766"/>
      <c r="B295" s="508" t="s">
        <v>513</v>
      </c>
      <c r="C295" s="507" t="s">
        <v>514</v>
      </c>
      <c r="D295" s="26"/>
      <c r="E295" s="26"/>
      <c r="F295" s="26"/>
      <c r="G295" s="28"/>
      <c r="H295" s="762"/>
      <c r="I295" s="763"/>
    </row>
    <row r="296" spans="1:27">
      <c r="A296" s="766"/>
      <c r="B296" s="508" t="s">
        <v>508</v>
      </c>
      <c r="C296" s="507" t="s">
        <v>516</v>
      </c>
      <c r="D296" s="26"/>
      <c r="E296" s="26"/>
      <c r="F296" s="26"/>
      <c r="G296" s="28"/>
      <c r="H296" s="762"/>
      <c r="I296" s="763"/>
    </row>
    <row r="297" spans="1:27">
      <c r="A297" s="766"/>
      <c r="B297" s="508" t="s">
        <v>509</v>
      </c>
      <c r="C297" s="507" t="s">
        <v>511</v>
      </c>
      <c r="D297" s="26"/>
      <c r="E297" s="26"/>
      <c r="F297" s="26"/>
      <c r="G297" s="28"/>
      <c r="H297" s="762"/>
      <c r="I297" s="763"/>
    </row>
    <row r="298" spans="1:27">
      <c r="A298" s="766"/>
      <c r="B298" s="506">
        <v>107052</v>
      </c>
      <c r="C298" s="507" t="s">
        <v>518</v>
      </c>
      <c r="D298" s="26"/>
      <c r="E298" s="26"/>
      <c r="F298" s="26"/>
      <c r="G298" s="28"/>
      <c r="H298" s="762"/>
      <c r="I298" s="763"/>
    </row>
    <row r="299" spans="1:27">
      <c r="A299" s="766"/>
      <c r="B299" s="506">
        <v>107051</v>
      </c>
      <c r="C299" s="507" t="s">
        <v>194</v>
      </c>
      <c r="D299" s="26"/>
      <c r="E299" s="26"/>
      <c r="F299" s="26"/>
      <c r="G299" s="28"/>
      <c r="H299" s="762"/>
      <c r="I299" s="763"/>
    </row>
    <row r="300" spans="1:27">
      <c r="A300" s="766"/>
      <c r="B300" s="506">
        <v>107053</v>
      </c>
      <c r="C300" s="507" t="s">
        <v>519</v>
      </c>
      <c r="D300" s="26"/>
      <c r="E300" s="26"/>
      <c r="F300" s="26"/>
      <c r="G300" s="28"/>
      <c r="H300" s="762"/>
      <c r="I300" s="763"/>
    </row>
    <row r="301" spans="1:27">
      <c r="A301" s="766"/>
      <c r="B301" s="506">
        <v>102031</v>
      </c>
      <c r="C301" s="507" t="s">
        <v>520</v>
      </c>
      <c r="D301" s="26"/>
      <c r="E301" s="26"/>
      <c r="F301" s="26"/>
      <c r="G301" s="28"/>
      <c r="H301" s="762"/>
      <c r="I301" s="763"/>
    </row>
    <row r="302" spans="1:27">
      <c r="A302" s="766"/>
      <c r="B302" s="506">
        <v>107013</v>
      </c>
      <c r="C302" s="507" t="s">
        <v>521</v>
      </c>
      <c r="D302" s="26"/>
      <c r="E302" s="26"/>
      <c r="F302" s="26"/>
      <c r="G302" s="28"/>
      <c r="H302" s="762"/>
      <c r="I302" s="763"/>
    </row>
    <row r="303" spans="1:27">
      <c r="A303" s="766"/>
      <c r="B303" s="506">
        <v>104042</v>
      </c>
      <c r="C303" s="507" t="s">
        <v>522</v>
      </c>
      <c r="D303" s="26"/>
      <c r="E303" s="26"/>
      <c r="F303" s="26"/>
      <c r="G303" s="28"/>
      <c r="H303" s="762"/>
      <c r="I303" s="763"/>
    </row>
    <row r="304" spans="1:27">
      <c r="A304" s="766"/>
      <c r="B304" s="508" t="s">
        <v>848</v>
      </c>
      <c r="C304" s="507" t="s">
        <v>874</v>
      </c>
      <c r="D304" s="26"/>
      <c r="E304" s="26"/>
      <c r="F304" s="26"/>
      <c r="G304" s="28"/>
      <c r="H304" s="762"/>
      <c r="I304" s="763"/>
    </row>
    <row r="305" spans="1:27">
      <c r="A305" s="766"/>
      <c r="B305" s="506">
        <v>104043</v>
      </c>
      <c r="C305" s="507" t="s">
        <v>523</v>
      </c>
      <c r="D305" s="26"/>
      <c r="E305" s="26"/>
      <c r="F305" s="26"/>
      <c r="G305" s="29"/>
      <c r="H305" s="762"/>
      <c r="I305" s="763"/>
    </row>
    <row r="306" spans="1:27">
      <c r="A306" s="766"/>
      <c r="B306" s="506">
        <v>104031</v>
      </c>
      <c r="C306" s="507" t="s">
        <v>524</v>
      </c>
      <c r="D306" s="26"/>
      <c r="E306" s="26"/>
      <c r="F306" s="26"/>
      <c r="G306" s="29"/>
      <c r="H306" s="762"/>
      <c r="I306" s="763"/>
    </row>
    <row r="307" spans="1:27">
      <c r="A307" s="766"/>
      <c r="B307" s="506">
        <v>104035</v>
      </c>
      <c r="C307" s="507" t="s">
        <v>525</v>
      </c>
      <c r="D307" s="26"/>
      <c r="E307" s="26"/>
      <c r="F307" s="26"/>
      <c r="G307" s="29"/>
      <c r="H307" s="762"/>
      <c r="I307" s="763"/>
    </row>
    <row r="308" spans="1:27">
      <c r="A308" s="766"/>
      <c r="B308" s="506">
        <v>104036</v>
      </c>
      <c r="C308" s="507" t="s">
        <v>526</v>
      </c>
      <c r="D308" s="26"/>
      <c r="E308" s="26"/>
      <c r="F308" s="26"/>
      <c r="G308" s="29"/>
      <c r="H308" s="762"/>
      <c r="I308" s="763"/>
    </row>
    <row r="309" spans="1:27" s="680" customFormat="1">
      <c r="A309" s="767" t="s">
        <v>528</v>
      </c>
      <c r="B309" s="767"/>
      <c r="C309" s="767"/>
      <c r="D309" s="27">
        <f>SUM(D310+D318+D325)</f>
        <v>0</v>
      </c>
      <c r="E309" s="27">
        <f>SUM(E310+E318+E325)</f>
        <v>0</v>
      </c>
      <c r="F309" s="27">
        <f>SUM(F310+F318+F325)</f>
        <v>0</v>
      </c>
      <c r="G309" s="29">
        <v>0</v>
      </c>
      <c r="H309" s="762"/>
      <c r="I309" s="763"/>
      <c r="J309" s="678"/>
      <c r="K309" s="678"/>
      <c r="L309" s="678"/>
      <c r="M309" s="678"/>
      <c r="N309" s="678"/>
      <c r="O309" s="678"/>
      <c r="P309" s="679"/>
      <c r="Q309" s="679"/>
      <c r="R309" s="679"/>
      <c r="S309" s="679"/>
      <c r="T309" s="679"/>
      <c r="U309" s="679"/>
      <c r="V309" s="679"/>
      <c r="W309" s="679"/>
      <c r="X309" s="679"/>
      <c r="Y309" s="679"/>
      <c r="Z309" s="679"/>
      <c r="AA309" s="679"/>
    </row>
    <row r="310" spans="1:27" s="687" customFormat="1">
      <c r="A310" s="768" t="s">
        <v>530</v>
      </c>
      <c r="B310" s="768"/>
      <c r="C310" s="768"/>
      <c r="D310" s="32">
        <f>SUM(D311:D317)</f>
        <v>0</v>
      </c>
      <c r="E310" s="32">
        <f>SUM(E311:E317)</f>
        <v>0</v>
      </c>
      <c r="F310" s="32">
        <f>SUM(F311:F317)</f>
        <v>0</v>
      </c>
      <c r="G310" s="33">
        <v>0</v>
      </c>
      <c r="H310" s="762"/>
      <c r="I310" s="763"/>
      <c r="J310" s="678"/>
      <c r="K310" s="678"/>
      <c r="L310" s="678"/>
      <c r="M310" s="678"/>
      <c r="N310" s="678"/>
      <c r="O310" s="678"/>
      <c r="P310" s="679"/>
      <c r="Q310" s="679"/>
      <c r="R310" s="679"/>
      <c r="S310" s="679"/>
      <c r="T310" s="679"/>
      <c r="U310" s="679"/>
      <c r="V310" s="679"/>
      <c r="W310" s="679"/>
      <c r="X310" s="679"/>
      <c r="Y310" s="679"/>
      <c r="Z310" s="679"/>
      <c r="AA310" s="679"/>
    </row>
    <row r="311" spans="1:27">
      <c r="A311" s="766"/>
      <c r="B311" s="506">
        <v>107052</v>
      </c>
      <c r="C311" s="507" t="s">
        <v>518</v>
      </c>
      <c r="D311" s="26"/>
      <c r="E311" s="26"/>
      <c r="F311" s="26"/>
      <c r="G311" s="28"/>
      <c r="H311" s="762"/>
      <c r="I311" s="763"/>
    </row>
    <row r="312" spans="1:27">
      <c r="A312" s="766"/>
      <c r="B312" s="506">
        <v>107053</v>
      </c>
      <c r="C312" s="507" t="s">
        <v>519</v>
      </c>
      <c r="D312" s="26"/>
      <c r="E312" s="26"/>
      <c r="F312" s="26"/>
      <c r="G312" s="28"/>
      <c r="H312" s="762"/>
      <c r="I312" s="763"/>
    </row>
    <row r="313" spans="1:27">
      <c r="A313" s="766"/>
      <c r="B313" s="506">
        <v>107051</v>
      </c>
      <c r="C313" s="507" t="s">
        <v>194</v>
      </c>
      <c r="D313" s="26"/>
      <c r="E313" s="26"/>
      <c r="F313" s="26"/>
      <c r="G313" s="28"/>
      <c r="H313" s="762"/>
      <c r="I313" s="763"/>
    </row>
    <row r="314" spans="1:27">
      <c r="A314" s="766"/>
      <c r="B314" s="506">
        <v>102031</v>
      </c>
      <c r="C314" s="507" t="s">
        <v>520</v>
      </c>
      <c r="D314" s="26"/>
      <c r="E314" s="26"/>
      <c r="F314" s="26"/>
      <c r="G314" s="28"/>
      <c r="H314" s="762"/>
      <c r="I314" s="763"/>
    </row>
    <row r="315" spans="1:27">
      <c r="A315" s="766"/>
      <c r="B315" s="506">
        <v>107013</v>
      </c>
      <c r="C315" s="507" t="s">
        <v>532</v>
      </c>
      <c r="D315" s="26"/>
      <c r="E315" s="26"/>
      <c r="F315" s="26"/>
      <c r="G315" s="28"/>
      <c r="H315" s="762"/>
      <c r="I315" s="763"/>
    </row>
    <row r="316" spans="1:27">
      <c r="A316" s="766"/>
      <c r="B316" s="508" t="s">
        <v>510</v>
      </c>
      <c r="C316" s="507" t="s">
        <v>533</v>
      </c>
      <c r="D316" s="26"/>
      <c r="E316" s="26"/>
      <c r="F316" s="26"/>
      <c r="G316" s="28"/>
      <c r="H316" s="762"/>
      <c r="I316" s="763"/>
    </row>
    <row r="317" spans="1:27">
      <c r="A317" s="766"/>
      <c r="B317" s="508" t="s">
        <v>508</v>
      </c>
      <c r="C317" s="507" t="s">
        <v>516</v>
      </c>
      <c r="D317" s="26"/>
      <c r="E317" s="26"/>
      <c r="F317" s="26"/>
      <c r="G317" s="28"/>
      <c r="H317" s="762"/>
      <c r="I317" s="763"/>
    </row>
    <row r="318" spans="1:27" s="688" customFormat="1">
      <c r="A318" s="769" t="s">
        <v>529</v>
      </c>
      <c r="B318" s="769"/>
      <c r="C318" s="769"/>
      <c r="D318" s="36">
        <f>SUM(D319:D324)</f>
        <v>0</v>
      </c>
      <c r="E318" s="36">
        <f>SUM(E319:E324)</f>
        <v>0</v>
      </c>
      <c r="F318" s="36">
        <f>SUM(F319:F324)</f>
        <v>0</v>
      </c>
      <c r="G318" s="37">
        <v>0</v>
      </c>
      <c r="H318" s="762"/>
      <c r="I318" s="763"/>
      <c r="J318" s="678"/>
      <c r="K318" s="678"/>
      <c r="L318" s="678"/>
      <c r="M318" s="678"/>
      <c r="N318" s="678"/>
      <c r="O318" s="678"/>
      <c r="P318" s="679"/>
      <c r="Q318" s="679"/>
      <c r="R318" s="679"/>
      <c r="S318" s="679"/>
      <c r="T318" s="679"/>
      <c r="U318" s="679"/>
      <c r="V318" s="679"/>
      <c r="W318" s="679"/>
      <c r="X318" s="679"/>
      <c r="Y318" s="679"/>
      <c r="Z318" s="679"/>
      <c r="AA318" s="679"/>
    </row>
    <row r="319" spans="1:27">
      <c r="A319" s="766"/>
      <c r="B319" s="506">
        <v>104042</v>
      </c>
      <c r="C319" s="507" t="s">
        <v>522</v>
      </c>
      <c r="D319" s="26"/>
      <c r="E319" s="26"/>
      <c r="F319" s="26"/>
      <c r="G319" s="28"/>
      <c r="H319" s="762"/>
      <c r="I319" s="763"/>
    </row>
    <row r="320" spans="1:27">
      <c r="A320" s="766"/>
      <c r="B320" s="506">
        <v>104043</v>
      </c>
      <c r="C320" s="507" t="s">
        <v>523</v>
      </c>
      <c r="D320" s="26"/>
      <c r="E320" s="26"/>
      <c r="F320" s="26"/>
      <c r="G320" s="28"/>
      <c r="H320" s="762"/>
      <c r="I320" s="763"/>
    </row>
    <row r="321" spans="1:27" ht="25.5">
      <c r="A321" s="766"/>
      <c r="B321" s="506">
        <v>104042</v>
      </c>
      <c r="C321" s="510" t="s">
        <v>1191</v>
      </c>
      <c r="D321" s="26"/>
      <c r="E321" s="26"/>
      <c r="F321" s="26"/>
      <c r="G321" s="28"/>
      <c r="H321" s="762"/>
      <c r="I321" s="763"/>
    </row>
    <row r="322" spans="1:27">
      <c r="A322" s="766"/>
      <c r="B322" s="506">
        <v>104043</v>
      </c>
      <c r="C322" s="507" t="s">
        <v>882</v>
      </c>
      <c r="D322" s="26"/>
      <c r="E322" s="26"/>
      <c r="F322" s="26"/>
      <c r="G322" s="28"/>
      <c r="H322" s="762"/>
      <c r="I322" s="763"/>
    </row>
    <row r="323" spans="1:27">
      <c r="A323" s="766"/>
      <c r="B323" s="508" t="s">
        <v>510</v>
      </c>
      <c r="C323" s="507" t="s">
        <v>533</v>
      </c>
      <c r="D323" s="26"/>
      <c r="E323" s="26"/>
      <c r="F323" s="26"/>
      <c r="G323" s="28"/>
      <c r="H323" s="762"/>
      <c r="I323" s="763"/>
    </row>
    <row r="324" spans="1:27">
      <c r="A324" s="766"/>
      <c r="B324" s="508" t="s">
        <v>508</v>
      </c>
      <c r="C324" s="507" t="s">
        <v>516</v>
      </c>
      <c r="D324" s="26"/>
      <c r="E324" s="26"/>
      <c r="F324" s="26"/>
      <c r="G324" s="28"/>
      <c r="H324" s="762"/>
      <c r="I324" s="763"/>
    </row>
    <row r="325" spans="1:27" s="689" customFormat="1">
      <c r="A325" s="770" t="s">
        <v>531</v>
      </c>
      <c r="B325" s="770"/>
      <c r="C325" s="770"/>
      <c r="D325" s="34">
        <f>SUM(D326:D331)</f>
        <v>0</v>
      </c>
      <c r="E325" s="34">
        <f>SUM(E326:E331)</f>
        <v>0</v>
      </c>
      <c r="F325" s="34">
        <f>SUM(F326:F331)</f>
        <v>0</v>
      </c>
      <c r="G325" s="35">
        <v>0</v>
      </c>
      <c r="H325" s="762"/>
      <c r="I325" s="763"/>
      <c r="J325" s="678"/>
      <c r="K325" s="678"/>
      <c r="L325" s="678"/>
      <c r="M325" s="678"/>
      <c r="N325" s="678"/>
      <c r="O325" s="678"/>
      <c r="P325" s="679"/>
      <c r="Q325" s="679"/>
      <c r="R325" s="679"/>
      <c r="S325" s="679"/>
      <c r="T325" s="679"/>
      <c r="U325" s="679"/>
      <c r="V325" s="679"/>
      <c r="W325" s="679"/>
      <c r="X325" s="679"/>
      <c r="Y325" s="679"/>
      <c r="Z325" s="679"/>
      <c r="AA325" s="679"/>
    </row>
    <row r="326" spans="1:27">
      <c r="A326" s="766"/>
      <c r="B326" s="506">
        <v>104031</v>
      </c>
      <c r="C326" s="507" t="s">
        <v>524</v>
      </c>
      <c r="D326" s="26"/>
      <c r="E326" s="26"/>
      <c r="F326" s="26"/>
      <c r="G326" s="28"/>
      <c r="H326" s="762"/>
      <c r="I326" s="763"/>
    </row>
    <row r="327" spans="1:27">
      <c r="A327" s="766"/>
      <c r="B327" s="506">
        <v>104035</v>
      </c>
      <c r="C327" s="507" t="s">
        <v>525</v>
      </c>
      <c r="D327" s="26"/>
      <c r="E327" s="26"/>
      <c r="F327" s="26"/>
      <c r="G327" s="28"/>
      <c r="H327" s="762"/>
      <c r="I327" s="763"/>
    </row>
    <row r="328" spans="1:27">
      <c r="A328" s="766"/>
      <c r="B328" s="506">
        <v>104036</v>
      </c>
      <c r="C328" s="507" t="s">
        <v>526</v>
      </c>
      <c r="D328" s="26"/>
      <c r="E328" s="26"/>
      <c r="F328" s="26"/>
      <c r="G328" s="28"/>
      <c r="H328" s="762"/>
      <c r="I328" s="763"/>
    </row>
    <row r="329" spans="1:27">
      <c r="A329" s="766"/>
      <c r="B329" s="506">
        <v>104037</v>
      </c>
      <c r="C329" s="507" t="s">
        <v>534</v>
      </c>
      <c r="D329" s="26"/>
      <c r="E329" s="26"/>
      <c r="F329" s="26"/>
      <c r="G329" s="28"/>
      <c r="H329" s="762"/>
      <c r="I329" s="763"/>
    </row>
    <row r="330" spans="1:27">
      <c r="A330" s="766"/>
      <c r="B330" s="508" t="s">
        <v>510</v>
      </c>
      <c r="C330" s="507" t="s">
        <v>533</v>
      </c>
      <c r="D330" s="26"/>
      <c r="E330" s="26"/>
      <c r="F330" s="26"/>
      <c r="G330" s="28"/>
      <c r="H330" s="762"/>
      <c r="I330" s="763"/>
      <c r="J330" s="681"/>
    </row>
    <row r="331" spans="1:27">
      <c r="A331" s="766"/>
      <c r="B331" s="508" t="s">
        <v>508</v>
      </c>
      <c r="C331" s="507" t="s">
        <v>516</v>
      </c>
      <c r="D331" s="26"/>
      <c r="E331" s="26"/>
      <c r="F331" s="26"/>
      <c r="G331" s="28"/>
      <c r="H331" s="762"/>
      <c r="I331" s="763"/>
      <c r="J331" s="681"/>
    </row>
    <row r="332" spans="1:27">
      <c r="A332" s="681"/>
      <c r="B332" s="682"/>
      <c r="C332" s="681"/>
      <c r="D332" s="681"/>
      <c r="E332" s="681"/>
      <c r="F332" s="681"/>
      <c r="G332" s="681"/>
      <c r="H332" s="681"/>
    </row>
    <row r="333" spans="1:27">
      <c r="A333" s="681"/>
      <c r="B333" s="682"/>
      <c r="C333" s="681"/>
      <c r="D333" s="681"/>
      <c r="E333" s="681"/>
      <c r="F333" s="681"/>
      <c r="G333" s="681"/>
      <c r="H333" s="681"/>
    </row>
    <row r="334" spans="1:27" s="685" customFormat="1" ht="15.75">
      <c r="A334" s="761" t="s">
        <v>1034</v>
      </c>
      <c r="B334" s="761"/>
      <c r="C334" s="761"/>
      <c r="D334" s="38">
        <f>SUM(D336+D353)</f>
        <v>0</v>
      </c>
      <c r="E334" s="38">
        <f>SUM(E336+E353)</f>
        <v>242110</v>
      </c>
      <c r="F334" s="38">
        <f>SUM(F336+F353)</f>
        <v>242110</v>
      </c>
      <c r="G334" s="39">
        <f>ROUND(F334/E334*100,2)</f>
        <v>100</v>
      </c>
      <c r="H334" s="762"/>
      <c r="I334" s="763"/>
      <c r="J334" s="683"/>
      <c r="K334" s="683"/>
      <c r="L334" s="683"/>
      <c r="M334" s="683"/>
      <c r="N334" s="683"/>
      <c r="O334" s="683"/>
      <c r="P334" s="684"/>
      <c r="Q334" s="684"/>
      <c r="R334" s="684"/>
      <c r="S334" s="684"/>
      <c r="T334" s="684"/>
      <c r="U334" s="684"/>
      <c r="V334" s="684"/>
      <c r="W334" s="684"/>
      <c r="X334" s="684"/>
      <c r="Y334" s="684"/>
      <c r="Z334" s="684"/>
      <c r="AA334" s="684"/>
    </row>
    <row r="335" spans="1:27" s="680" customFormat="1">
      <c r="A335" s="764" t="s">
        <v>1</v>
      </c>
      <c r="B335" s="764"/>
      <c r="C335" s="764"/>
      <c r="D335" s="27">
        <f>SUM(D336)</f>
        <v>0</v>
      </c>
      <c r="E335" s="27">
        <f>SUM(E336)</f>
        <v>242110</v>
      </c>
      <c r="F335" s="27">
        <f>SUM(F336)</f>
        <v>242110</v>
      </c>
      <c r="G335" s="445">
        <f t="shared" ref="G335:G336" si="19">ROUND(F335/E335*100,2)</f>
        <v>100</v>
      </c>
      <c r="H335" s="762"/>
      <c r="I335" s="763"/>
      <c r="J335" s="678"/>
      <c r="K335" s="678"/>
      <c r="L335" s="678"/>
      <c r="M335" s="678"/>
      <c r="N335" s="678"/>
      <c r="O335" s="678"/>
      <c r="P335" s="679"/>
      <c r="Q335" s="679"/>
      <c r="R335" s="679"/>
      <c r="S335" s="679"/>
      <c r="T335" s="679"/>
      <c r="U335" s="679"/>
      <c r="V335" s="679"/>
      <c r="W335" s="679"/>
      <c r="X335" s="679"/>
      <c r="Y335" s="679"/>
      <c r="Z335" s="679"/>
      <c r="AA335" s="679"/>
    </row>
    <row r="336" spans="1:27" s="686" customFormat="1">
      <c r="A336" s="765" t="s">
        <v>527</v>
      </c>
      <c r="B336" s="765"/>
      <c r="C336" s="765"/>
      <c r="D336" s="30">
        <f>SUM(D337:D352)</f>
        <v>0</v>
      </c>
      <c r="E336" s="30">
        <f>SUM(E337:E352)</f>
        <v>242110</v>
      </c>
      <c r="F336" s="30">
        <f>SUM(F337:F352)</f>
        <v>242110</v>
      </c>
      <c r="G336" s="446">
        <f t="shared" si="19"/>
        <v>100</v>
      </c>
      <c r="H336" s="762"/>
      <c r="I336" s="763"/>
      <c r="J336" s="678"/>
      <c r="K336" s="678"/>
      <c r="L336" s="678"/>
      <c r="M336" s="678"/>
      <c r="N336" s="678"/>
      <c r="O336" s="678"/>
      <c r="P336" s="679"/>
      <c r="Q336" s="679"/>
      <c r="R336" s="679"/>
      <c r="S336" s="679"/>
      <c r="T336" s="679"/>
      <c r="U336" s="679"/>
      <c r="V336" s="679"/>
      <c r="W336" s="679"/>
      <c r="X336" s="679"/>
      <c r="Y336" s="679"/>
      <c r="Z336" s="679"/>
      <c r="AA336" s="679"/>
    </row>
    <row r="337" spans="1:9">
      <c r="A337" s="766"/>
      <c r="B337" s="508" t="s">
        <v>506</v>
      </c>
      <c r="C337" s="507" t="s">
        <v>512</v>
      </c>
      <c r="D337" s="26"/>
      <c r="E337" s="26"/>
      <c r="F337" s="26"/>
      <c r="G337" s="28"/>
      <c r="H337" s="762"/>
      <c r="I337" s="763"/>
    </row>
    <row r="338" spans="1:9">
      <c r="A338" s="766"/>
      <c r="B338" s="508" t="s">
        <v>507</v>
      </c>
      <c r="C338" s="507" t="s">
        <v>517</v>
      </c>
      <c r="D338" s="26"/>
      <c r="E338" s="26"/>
      <c r="F338" s="26"/>
      <c r="G338" s="28"/>
      <c r="H338" s="762"/>
      <c r="I338" s="763"/>
    </row>
    <row r="339" spans="1:9">
      <c r="A339" s="766"/>
      <c r="B339" s="506">
        <v>107052</v>
      </c>
      <c r="C339" s="507" t="s">
        <v>515</v>
      </c>
      <c r="D339" s="26"/>
      <c r="E339" s="26"/>
      <c r="F339" s="26"/>
      <c r="G339" s="28"/>
      <c r="H339" s="762"/>
      <c r="I339" s="763"/>
    </row>
    <row r="340" spans="1:9">
      <c r="A340" s="766"/>
      <c r="B340" s="508" t="s">
        <v>513</v>
      </c>
      <c r="C340" s="507" t="s">
        <v>514</v>
      </c>
      <c r="D340" s="26"/>
      <c r="E340" s="26"/>
      <c r="F340" s="26"/>
      <c r="G340" s="28"/>
      <c r="H340" s="762"/>
      <c r="I340" s="763"/>
    </row>
    <row r="341" spans="1:9">
      <c r="A341" s="766"/>
      <c r="B341" s="508" t="s">
        <v>508</v>
      </c>
      <c r="C341" s="507" t="s">
        <v>516</v>
      </c>
      <c r="D341" s="26">
        <v>0</v>
      </c>
      <c r="E341" s="26">
        <v>242110</v>
      </c>
      <c r="F341" s="26">
        <v>242110</v>
      </c>
      <c r="G341" s="28">
        <f>ROUND(F341/E341*100,2)</f>
        <v>100</v>
      </c>
      <c r="H341" s="762"/>
      <c r="I341" s="763"/>
    </row>
    <row r="342" spans="1:9">
      <c r="A342" s="766"/>
      <c r="B342" s="508" t="s">
        <v>509</v>
      </c>
      <c r="C342" s="507" t="s">
        <v>511</v>
      </c>
      <c r="D342" s="26"/>
      <c r="E342" s="26"/>
      <c r="F342" s="26"/>
      <c r="G342" s="28"/>
      <c r="H342" s="762"/>
      <c r="I342" s="763"/>
    </row>
    <row r="343" spans="1:9">
      <c r="A343" s="766"/>
      <c r="B343" s="506">
        <v>107052</v>
      </c>
      <c r="C343" s="507" t="s">
        <v>518</v>
      </c>
      <c r="D343" s="26"/>
      <c r="E343" s="26"/>
      <c r="F343" s="26"/>
      <c r="G343" s="28"/>
      <c r="H343" s="762"/>
      <c r="I343" s="763"/>
    </row>
    <row r="344" spans="1:9">
      <c r="A344" s="766"/>
      <c r="B344" s="506">
        <v>107051</v>
      </c>
      <c r="C344" s="507" t="s">
        <v>194</v>
      </c>
      <c r="D344" s="26"/>
      <c r="E344" s="26"/>
      <c r="F344" s="26"/>
      <c r="G344" s="28"/>
      <c r="H344" s="762"/>
      <c r="I344" s="763"/>
    </row>
    <row r="345" spans="1:9">
      <c r="A345" s="766"/>
      <c r="B345" s="506">
        <v>107053</v>
      </c>
      <c r="C345" s="507" t="s">
        <v>519</v>
      </c>
      <c r="D345" s="26"/>
      <c r="E345" s="26"/>
      <c r="F345" s="26"/>
      <c r="G345" s="28"/>
      <c r="H345" s="762"/>
      <c r="I345" s="763"/>
    </row>
    <row r="346" spans="1:9">
      <c r="A346" s="766"/>
      <c r="B346" s="506">
        <v>102031</v>
      </c>
      <c r="C346" s="507" t="s">
        <v>520</v>
      </c>
      <c r="D346" s="26"/>
      <c r="E346" s="26"/>
      <c r="F346" s="26"/>
      <c r="G346" s="28"/>
      <c r="H346" s="762"/>
      <c r="I346" s="763"/>
    </row>
    <row r="347" spans="1:9">
      <c r="A347" s="766"/>
      <c r="B347" s="506">
        <v>107013</v>
      </c>
      <c r="C347" s="507" t="s">
        <v>521</v>
      </c>
      <c r="D347" s="26"/>
      <c r="E347" s="26"/>
      <c r="F347" s="26"/>
      <c r="G347" s="28"/>
      <c r="H347" s="762"/>
      <c r="I347" s="763"/>
    </row>
    <row r="348" spans="1:9">
      <c r="A348" s="766"/>
      <c r="B348" s="506">
        <v>104042</v>
      </c>
      <c r="C348" s="507" t="s">
        <v>522</v>
      </c>
      <c r="D348" s="26"/>
      <c r="E348" s="26"/>
      <c r="F348" s="26"/>
      <c r="G348" s="28"/>
      <c r="H348" s="762"/>
      <c r="I348" s="763"/>
    </row>
    <row r="349" spans="1:9">
      <c r="A349" s="766"/>
      <c r="B349" s="506">
        <v>104043</v>
      </c>
      <c r="C349" s="507" t="s">
        <v>523</v>
      </c>
      <c r="D349" s="26"/>
      <c r="E349" s="26"/>
      <c r="F349" s="26"/>
      <c r="G349" s="28"/>
      <c r="H349" s="762"/>
      <c r="I349" s="763"/>
    </row>
    <row r="350" spans="1:9">
      <c r="A350" s="766"/>
      <c r="B350" s="506">
        <v>104031</v>
      </c>
      <c r="C350" s="507" t="s">
        <v>524</v>
      </c>
      <c r="D350" s="26"/>
      <c r="E350" s="26"/>
      <c r="F350" s="26"/>
      <c r="G350" s="28"/>
      <c r="H350" s="762"/>
      <c r="I350" s="763"/>
    </row>
    <row r="351" spans="1:9">
      <c r="A351" s="766"/>
      <c r="B351" s="506">
        <v>104035</v>
      </c>
      <c r="C351" s="507" t="s">
        <v>525</v>
      </c>
      <c r="D351" s="26"/>
      <c r="E351" s="26"/>
      <c r="F351" s="26"/>
      <c r="G351" s="28"/>
      <c r="H351" s="762"/>
      <c r="I351" s="763"/>
    </row>
    <row r="352" spans="1:9">
      <c r="A352" s="766"/>
      <c r="B352" s="506">
        <v>104036</v>
      </c>
      <c r="C352" s="507" t="s">
        <v>526</v>
      </c>
      <c r="D352" s="26"/>
      <c r="E352" s="26"/>
      <c r="F352" s="26"/>
      <c r="G352" s="28"/>
      <c r="H352" s="762"/>
      <c r="I352" s="763"/>
    </row>
    <row r="353" spans="1:27" s="680" customFormat="1">
      <c r="A353" s="767" t="s">
        <v>528</v>
      </c>
      <c r="B353" s="767"/>
      <c r="C353" s="767"/>
      <c r="D353" s="27">
        <f>SUM(D354+D362+D369)</f>
        <v>0</v>
      </c>
      <c r="E353" s="27">
        <f>SUM(E354+E362+E369)</f>
        <v>0</v>
      </c>
      <c r="F353" s="27">
        <f>SUM(F354+F362+F369)</f>
        <v>0</v>
      </c>
      <c r="G353" s="29"/>
      <c r="H353" s="762"/>
      <c r="I353" s="763"/>
      <c r="J353" s="678"/>
      <c r="K353" s="678"/>
      <c r="L353" s="678"/>
      <c r="M353" s="678"/>
      <c r="N353" s="678"/>
      <c r="O353" s="678"/>
      <c r="P353" s="679"/>
      <c r="Q353" s="679"/>
      <c r="R353" s="679"/>
      <c r="S353" s="679"/>
      <c r="T353" s="679"/>
      <c r="U353" s="679"/>
      <c r="V353" s="679"/>
      <c r="W353" s="679"/>
      <c r="X353" s="679"/>
      <c r="Y353" s="679"/>
      <c r="Z353" s="679"/>
      <c r="AA353" s="679"/>
    </row>
    <row r="354" spans="1:27" s="687" customFormat="1">
      <c r="A354" s="768" t="s">
        <v>530</v>
      </c>
      <c r="B354" s="768"/>
      <c r="C354" s="768"/>
      <c r="D354" s="32">
        <f>SUM(D355:D361)</f>
        <v>0</v>
      </c>
      <c r="E354" s="32">
        <f>SUM(E355:E361)</f>
        <v>0</v>
      </c>
      <c r="F354" s="32">
        <f>SUM(F355:F361)</f>
        <v>0</v>
      </c>
      <c r="G354" s="33">
        <v>0</v>
      </c>
      <c r="H354" s="762"/>
      <c r="I354" s="763"/>
      <c r="J354" s="678"/>
      <c r="K354" s="678"/>
      <c r="L354" s="678"/>
      <c r="M354" s="678"/>
      <c r="N354" s="678"/>
      <c r="O354" s="678"/>
      <c r="P354" s="679"/>
      <c r="Q354" s="679"/>
      <c r="R354" s="679"/>
      <c r="S354" s="679"/>
      <c r="T354" s="679"/>
      <c r="U354" s="679"/>
      <c r="V354" s="679"/>
      <c r="W354" s="679"/>
      <c r="X354" s="679"/>
      <c r="Y354" s="679"/>
      <c r="Z354" s="679"/>
      <c r="AA354" s="679"/>
    </row>
    <row r="355" spans="1:27">
      <c r="A355" s="766"/>
      <c r="B355" s="506">
        <v>107052</v>
      </c>
      <c r="C355" s="507" t="s">
        <v>518</v>
      </c>
      <c r="D355" s="26"/>
      <c r="E355" s="26"/>
      <c r="F355" s="26"/>
      <c r="G355" s="28"/>
      <c r="H355" s="762"/>
      <c r="I355" s="763"/>
    </row>
    <row r="356" spans="1:27">
      <c r="A356" s="766"/>
      <c r="B356" s="506">
        <v>107053</v>
      </c>
      <c r="C356" s="507" t="s">
        <v>519</v>
      </c>
      <c r="D356" s="26"/>
      <c r="E356" s="26"/>
      <c r="F356" s="26"/>
      <c r="G356" s="28"/>
      <c r="H356" s="762"/>
      <c r="I356" s="763"/>
    </row>
    <row r="357" spans="1:27">
      <c r="A357" s="766"/>
      <c r="B357" s="506">
        <v>107051</v>
      </c>
      <c r="C357" s="507" t="s">
        <v>194</v>
      </c>
      <c r="D357" s="26"/>
      <c r="E357" s="26"/>
      <c r="F357" s="26"/>
      <c r="G357" s="28"/>
      <c r="H357" s="762"/>
      <c r="I357" s="763"/>
    </row>
    <row r="358" spans="1:27">
      <c r="A358" s="766"/>
      <c r="B358" s="506">
        <v>102031</v>
      </c>
      <c r="C358" s="507" t="s">
        <v>520</v>
      </c>
      <c r="D358" s="26"/>
      <c r="E358" s="26"/>
      <c r="F358" s="26"/>
      <c r="G358" s="28"/>
      <c r="H358" s="762"/>
      <c r="I358" s="763"/>
    </row>
    <row r="359" spans="1:27">
      <c r="A359" s="766"/>
      <c r="B359" s="506">
        <v>107013</v>
      </c>
      <c r="C359" s="507" t="s">
        <v>532</v>
      </c>
      <c r="D359" s="26"/>
      <c r="E359" s="26"/>
      <c r="F359" s="26"/>
      <c r="G359" s="28"/>
      <c r="H359" s="762"/>
      <c r="I359" s="763"/>
    </row>
    <row r="360" spans="1:27">
      <c r="A360" s="766"/>
      <c r="B360" s="508" t="s">
        <v>510</v>
      </c>
      <c r="C360" s="507" t="s">
        <v>533</v>
      </c>
      <c r="D360" s="26"/>
      <c r="E360" s="26"/>
      <c r="F360" s="26"/>
      <c r="G360" s="28"/>
      <c r="H360" s="762"/>
      <c r="I360" s="763"/>
    </row>
    <row r="361" spans="1:27">
      <c r="A361" s="766"/>
      <c r="B361" s="508" t="s">
        <v>508</v>
      </c>
      <c r="C361" s="507" t="s">
        <v>516</v>
      </c>
      <c r="D361" s="26"/>
      <c r="E361" s="26"/>
      <c r="F361" s="26"/>
      <c r="G361" s="28"/>
      <c r="H361" s="762"/>
      <c r="I361" s="763"/>
    </row>
    <row r="362" spans="1:27" s="688" customFormat="1">
      <c r="A362" s="769" t="s">
        <v>529</v>
      </c>
      <c r="B362" s="769"/>
      <c r="C362" s="769"/>
      <c r="D362" s="36">
        <f>SUM(D363:D368)</f>
        <v>0</v>
      </c>
      <c r="E362" s="36">
        <f>SUM(E363:E368)</f>
        <v>0</v>
      </c>
      <c r="F362" s="36">
        <f>SUM(F363:F368)</f>
        <v>0</v>
      </c>
      <c r="G362" s="37">
        <v>0</v>
      </c>
      <c r="H362" s="762"/>
      <c r="I362" s="763"/>
      <c r="J362" s="678"/>
      <c r="K362" s="678"/>
      <c r="L362" s="678"/>
      <c r="M362" s="678"/>
      <c r="N362" s="678"/>
      <c r="O362" s="678"/>
      <c r="P362" s="679"/>
      <c r="Q362" s="679"/>
      <c r="R362" s="679"/>
      <c r="S362" s="679"/>
      <c r="T362" s="679"/>
      <c r="U362" s="679"/>
      <c r="V362" s="679"/>
      <c r="W362" s="679"/>
      <c r="X362" s="679"/>
      <c r="Y362" s="679"/>
      <c r="Z362" s="679"/>
      <c r="AA362" s="679"/>
    </row>
    <row r="363" spans="1:27">
      <c r="A363" s="766"/>
      <c r="B363" s="506">
        <v>104042</v>
      </c>
      <c r="C363" s="507" t="s">
        <v>522</v>
      </c>
      <c r="D363" s="26"/>
      <c r="E363" s="26"/>
      <c r="F363" s="26"/>
      <c r="G363" s="28"/>
      <c r="H363" s="762"/>
      <c r="I363" s="763"/>
    </row>
    <row r="364" spans="1:27">
      <c r="A364" s="766"/>
      <c r="B364" s="506">
        <v>104043</v>
      </c>
      <c r="C364" s="507" t="s">
        <v>523</v>
      </c>
      <c r="D364" s="26"/>
      <c r="E364" s="26"/>
      <c r="F364" s="26"/>
      <c r="G364" s="28"/>
      <c r="H364" s="762"/>
      <c r="I364" s="763"/>
    </row>
    <row r="365" spans="1:27" ht="25.5">
      <c r="A365" s="766"/>
      <c r="B365" s="506">
        <v>104042</v>
      </c>
      <c r="C365" s="510" t="s">
        <v>1191</v>
      </c>
      <c r="D365" s="26"/>
      <c r="E365" s="26"/>
      <c r="F365" s="26"/>
      <c r="G365" s="28"/>
      <c r="H365" s="762"/>
      <c r="I365" s="763"/>
    </row>
    <row r="366" spans="1:27">
      <c r="A366" s="766"/>
      <c r="B366" s="506">
        <v>104043</v>
      </c>
      <c r="C366" s="507" t="s">
        <v>882</v>
      </c>
      <c r="D366" s="26"/>
      <c r="E366" s="26"/>
      <c r="F366" s="26"/>
      <c r="G366" s="28"/>
      <c r="H366" s="762"/>
      <c r="I366" s="763"/>
    </row>
    <row r="367" spans="1:27">
      <c r="A367" s="766"/>
      <c r="B367" s="508" t="s">
        <v>510</v>
      </c>
      <c r="C367" s="507" t="s">
        <v>533</v>
      </c>
      <c r="D367" s="26"/>
      <c r="E367" s="26"/>
      <c r="F367" s="26"/>
      <c r="G367" s="28"/>
      <c r="H367" s="762"/>
      <c r="I367" s="763"/>
    </row>
    <row r="368" spans="1:27">
      <c r="A368" s="766"/>
      <c r="B368" s="508" t="s">
        <v>508</v>
      </c>
      <c r="C368" s="507" t="s">
        <v>516</v>
      </c>
      <c r="D368" s="26"/>
      <c r="E368" s="26"/>
      <c r="F368" s="26"/>
      <c r="G368" s="28"/>
      <c r="H368" s="762"/>
      <c r="I368" s="763"/>
    </row>
    <row r="369" spans="1:27" s="689" customFormat="1">
      <c r="A369" s="770" t="s">
        <v>531</v>
      </c>
      <c r="B369" s="770"/>
      <c r="C369" s="770"/>
      <c r="D369" s="34">
        <f>SUM(D370:D375)</f>
        <v>0</v>
      </c>
      <c r="E369" s="34">
        <f>SUM(E370:E375)</f>
        <v>0</v>
      </c>
      <c r="F369" s="34">
        <f>SUM(F370:F375)</f>
        <v>0</v>
      </c>
      <c r="G369" s="35">
        <v>0</v>
      </c>
      <c r="H369" s="762"/>
      <c r="I369" s="763"/>
      <c r="J369" s="678"/>
      <c r="K369" s="678"/>
      <c r="L369" s="678"/>
      <c r="M369" s="678"/>
      <c r="N369" s="678"/>
      <c r="O369" s="678"/>
      <c r="P369" s="679"/>
      <c r="Q369" s="679"/>
      <c r="R369" s="679"/>
      <c r="S369" s="679"/>
      <c r="T369" s="679"/>
      <c r="U369" s="679"/>
      <c r="V369" s="679"/>
      <c r="W369" s="679"/>
      <c r="X369" s="679"/>
      <c r="Y369" s="679"/>
      <c r="Z369" s="679"/>
      <c r="AA369" s="679"/>
    </row>
    <row r="370" spans="1:27">
      <c r="A370" s="766"/>
      <c r="B370" s="506">
        <v>104031</v>
      </c>
      <c r="C370" s="507" t="s">
        <v>524</v>
      </c>
      <c r="D370" s="26"/>
      <c r="E370" s="26"/>
      <c r="F370" s="26"/>
      <c r="G370" s="28"/>
      <c r="H370" s="762"/>
      <c r="I370" s="763"/>
    </row>
    <row r="371" spans="1:27">
      <c r="A371" s="766"/>
      <c r="B371" s="506">
        <v>104035</v>
      </c>
      <c r="C371" s="507" t="s">
        <v>525</v>
      </c>
      <c r="D371" s="26"/>
      <c r="E371" s="26"/>
      <c r="F371" s="26"/>
      <c r="G371" s="28"/>
      <c r="H371" s="762"/>
      <c r="I371" s="763"/>
    </row>
    <row r="372" spans="1:27">
      <c r="A372" s="766"/>
      <c r="B372" s="506">
        <v>104036</v>
      </c>
      <c r="C372" s="507" t="s">
        <v>526</v>
      </c>
      <c r="D372" s="26"/>
      <c r="E372" s="26"/>
      <c r="F372" s="26"/>
      <c r="G372" s="28"/>
      <c r="H372" s="762"/>
      <c r="I372" s="763"/>
    </row>
    <row r="373" spans="1:27">
      <c r="A373" s="766"/>
      <c r="B373" s="506">
        <v>104037</v>
      </c>
      <c r="C373" s="507" t="s">
        <v>534</v>
      </c>
      <c r="D373" s="26"/>
      <c r="E373" s="26"/>
      <c r="F373" s="26"/>
      <c r="G373" s="28"/>
      <c r="H373" s="762"/>
      <c r="I373" s="763"/>
    </row>
    <row r="374" spans="1:27">
      <c r="A374" s="766"/>
      <c r="B374" s="508" t="s">
        <v>510</v>
      </c>
      <c r="C374" s="507" t="s">
        <v>533</v>
      </c>
      <c r="D374" s="26"/>
      <c r="E374" s="26"/>
      <c r="F374" s="26"/>
      <c r="G374" s="28"/>
      <c r="H374" s="762"/>
      <c r="I374" s="763"/>
    </row>
    <row r="375" spans="1:27">
      <c r="A375" s="766"/>
      <c r="B375" s="508" t="s">
        <v>508</v>
      </c>
      <c r="C375" s="507" t="s">
        <v>516</v>
      </c>
      <c r="D375" s="26"/>
      <c r="E375" s="26"/>
      <c r="F375" s="26"/>
      <c r="G375" s="28"/>
      <c r="H375" s="762"/>
      <c r="I375" s="763"/>
    </row>
    <row r="378" spans="1:27" s="680" customFormat="1" ht="15.75">
      <c r="A378" s="782" t="s">
        <v>890</v>
      </c>
      <c r="B378" s="783"/>
      <c r="C378" s="784"/>
      <c r="D378" s="695">
        <f>SUM(D379+D397)</f>
        <v>0</v>
      </c>
      <c r="E378" s="695">
        <f>SUM(E379+E397)</f>
        <v>1050000</v>
      </c>
      <c r="F378" s="695">
        <f>SUM(F379+F397)</f>
        <v>1050000</v>
      </c>
      <c r="G378" s="39">
        <f>ROUND(F378/E378*100,2)</f>
        <v>100</v>
      </c>
      <c r="H378" s="785"/>
      <c r="I378" s="785"/>
      <c r="J378" s="678"/>
      <c r="K378" s="678"/>
      <c r="L378" s="678"/>
      <c r="M378" s="678"/>
      <c r="N378" s="678"/>
      <c r="O378" s="678"/>
      <c r="P378" s="679"/>
      <c r="Q378" s="679"/>
      <c r="R378" s="679"/>
      <c r="S378" s="679"/>
      <c r="T378" s="679"/>
      <c r="U378" s="679"/>
      <c r="V378" s="679"/>
      <c r="W378" s="679"/>
      <c r="X378" s="679"/>
      <c r="Y378" s="679"/>
      <c r="Z378" s="679"/>
      <c r="AA378" s="679"/>
    </row>
    <row r="379" spans="1:27" s="680" customFormat="1" ht="15.75">
      <c r="A379" s="764" t="s">
        <v>1</v>
      </c>
      <c r="B379" s="764"/>
      <c r="C379" s="764"/>
      <c r="D379" s="27">
        <f>SUM(D380)</f>
        <v>0</v>
      </c>
      <c r="E379" s="27">
        <f>SUM(E380)</f>
        <v>0</v>
      </c>
      <c r="F379" s="27">
        <f>SUM(F380)</f>
        <v>0</v>
      </c>
      <c r="G379" s="39"/>
      <c r="H379" s="762"/>
      <c r="I379" s="763"/>
      <c r="J379" s="678"/>
      <c r="K379" s="678"/>
      <c r="L379" s="678"/>
      <c r="M379" s="678"/>
      <c r="N379" s="678"/>
      <c r="O379" s="678"/>
      <c r="P379" s="679"/>
      <c r="Q379" s="679"/>
      <c r="R379" s="679"/>
      <c r="S379" s="679"/>
      <c r="T379" s="679"/>
      <c r="U379" s="679"/>
      <c r="V379" s="679"/>
      <c r="W379" s="679"/>
      <c r="X379" s="679"/>
      <c r="Y379" s="679"/>
      <c r="Z379" s="679"/>
      <c r="AA379" s="679"/>
    </row>
    <row r="380" spans="1:27" s="686" customFormat="1" ht="15.75">
      <c r="A380" s="765" t="s">
        <v>527</v>
      </c>
      <c r="B380" s="765"/>
      <c r="C380" s="765"/>
      <c r="D380" s="30">
        <f>SUM(D381:D396)</f>
        <v>0</v>
      </c>
      <c r="E380" s="30">
        <f>SUM(E381:E396)</f>
        <v>0</v>
      </c>
      <c r="F380" s="30">
        <f>SUM(F381:F396)</f>
        <v>0</v>
      </c>
      <c r="G380" s="696"/>
      <c r="H380" s="762"/>
      <c r="I380" s="763"/>
      <c r="J380" s="678"/>
      <c r="K380" s="678"/>
      <c r="L380" s="678"/>
      <c r="M380" s="678"/>
      <c r="N380" s="678"/>
      <c r="O380" s="678"/>
      <c r="P380" s="679"/>
      <c r="Q380" s="679"/>
      <c r="R380" s="679"/>
      <c r="S380" s="679"/>
      <c r="T380" s="679"/>
      <c r="U380" s="679"/>
      <c r="V380" s="679"/>
      <c r="W380" s="679"/>
      <c r="X380" s="679"/>
      <c r="Y380" s="679"/>
      <c r="Z380" s="679"/>
      <c r="AA380" s="679"/>
    </row>
    <row r="381" spans="1:27">
      <c r="A381" s="766" t="s">
        <v>925</v>
      </c>
      <c r="B381" s="508" t="s">
        <v>506</v>
      </c>
      <c r="C381" s="507" t="s">
        <v>512</v>
      </c>
      <c r="D381" s="26"/>
      <c r="E381" s="26"/>
      <c r="F381" s="26"/>
      <c r="G381" s="28"/>
      <c r="H381" s="762"/>
      <c r="I381" s="763"/>
    </row>
    <row r="382" spans="1:27">
      <c r="A382" s="766"/>
      <c r="B382" s="508" t="s">
        <v>507</v>
      </c>
      <c r="C382" s="507" t="s">
        <v>517</v>
      </c>
      <c r="D382" s="26"/>
      <c r="E382" s="26"/>
      <c r="F382" s="26"/>
      <c r="G382" s="28"/>
      <c r="H382" s="762"/>
      <c r="I382" s="763"/>
    </row>
    <row r="383" spans="1:27" ht="25.5">
      <c r="A383" s="766"/>
      <c r="B383" s="509" t="s">
        <v>884</v>
      </c>
      <c r="C383" s="510" t="s">
        <v>1191</v>
      </c>
      <c r="D383" s="443"/>
      <c r="E383" s="443"/>
      <c r="F383" s="443"/>
      <c r="G383" s="461"/>
      <c r="H383" s="762"/>
      <c r="I383" s="763"/>
    </row>
    <row r="384" spans="1:27">
      <c r="A384" s="766"/>
      <c r="B384" s="508" t="s">
        <v>513</v>
      </c>
      <c r="C384" s="507" t="s">
        <v>514</v>
      </c>
      <c r="D384" s="26"/>
      <c r="E384" s="26"/>
      <c r="F384" s="26"/>
      <c r="G384" s="28"/>
      <c r="H384" s="762"/>
      <c r="I384" s="763"/>
    </row>
    <row r="385" spans="1:27">
      <c r="A385" s="766"/>
      <c r="B385" s="508" t="s">
        <v>508</v>
      </c>
      <c r="C385" s="507" t="s">
        <v>516</v>
      </c>
      <c r="D385" s="26"/>
      <c r="E385" s="26"/>
      <c r="F385" s="26"/>
      <c r="G385" s="28"/>
      <c r="H385" s="762"/>
      <c r="I385" s="763"/>
    </row>
    <row r="386" spans="1:27">
      <c r="A386" s="766"/>
      <c r="B386" s="508" t="s">
        <v>509</v>
      </c>
      <c r="C386" s="507" t="s">
        <v>511</v>
      </c>
      <c r="D386" s="26"/>
      <c r="E386" s="26"/>
      <c r="F386" s="26"/>
      <c r="G386" s="28"/>
      <c r="H386" s="762"/>
      <c r="I386" s="763"/>
    </row>
    <row r="387" spans="1:27">
      <c r="A387" s="766"/>
      <c r="B387" s="506">
        <v>107052</v>
      </c>
      <c r="C387" s="507" t="s">
        <v>518</v>
      </c>
      <c r="D387" s="26"/>
      <c r="E387" s="26"/>
      <c r="F387" s="26"/>
      <c r="G387" s="28"/>
      <c r="H387" s="762"/>
      <c r="I387" s="763"/>
    </row>
    <row r="388" spans="1:27">
      <c r="A388" s="766"/>
      <c r="B388" s="506">
        <v>107051</v>
      </c>
      <c r="C388" s="507" t="s">
        <v>194</v>
      </c>
      <c r="D388" s="26"/>
      <c r="E388" s="26"/>
      <c r="F388" s="26"/>
      <c r="G388" s="28"/>
      <c r="H388" s="762"/>
      <c r="I388" s="763"/>
    </row>
    <row r="389" spans="1:27">
      <c r="A389" s="766"/>
      <c r="B389" s="506">
        <v>107053</v>
      </c>
      <c r="C389" s="507" t="s">
        <v>519</v>
      </c>
      <c r="D389" s="26"/>
      <c r="E389" s="26"/>
      <c r="F389" s="26"/>
      <c r="G389" s="28"/>
      <c r="H389" s="762"/>
      <c r="I389" s="763"/>
    </row>
    <row r="390" spans="1:27">
      <c r="A390" s="766"/>
      <c r="B390" s="506">
        <v>102031</v>
      </c>
      <c r="C390" s="507" t="s">
        <v>520</v>
      </c>
      <c r="D390" s="26"/>
      <c r="E390" s="26"/>
      <c r="F390" s="26"/>
      <c r="G390" s="28"/>
      <c r="H390" s="762"/>
      <c r="I390" s="763"/>
    </row>
    <row r="391" spans="1:27">
      <c r="A391" s="766"/>
      <c r="B391" s="506">
        <v>107013</v>
      </c>
      <c r="C391" s="507" t="s">
        <v>521</v>
      </c>
      <c r="D391" s="26"/>
      <c r="E391" s="26"/>
      <c r="F391" s="26"/>
      <c r="G391" s="28"/>
      <c r="H391" s="762"/>
      <c r="I391" s="763"/>
    </row>
    <row r="392" spans="1:27">
      <c r="A392" s="766"/>
      <c r="B392" s="506">
        <v>104042</v>
      </c>
      <c r="C392" s="507" t="s">
        <v>522</v>
      </c>
      <c r="D392" s="26"/>
      <c r="E392" s="26"/>
      <c r="F392" s="26"/>
      <c r="G392" s="28"/>
      <c r="H392" s="762"/>
      <c r="I392" s="763"/>
    </row>
    <row r="393" spans="1:27">
      <c r="A393" s="766"/>
      <c r="B393" s="506">
        <v>104043</v>
      </c>
      <c r="C393" s="507" t="s">
        <v>523</v>
      </c>
      <c r="D393" s="26"/>
      <c r="E393" s="26"/>
      <c r="F393" s="26"/>
      <c r="G393" s="28"/>
      <c r="H393" s="762"/>
      <c r="I393" s="763"/>
    </row>
    <row r="394" spans="1:27">
      <c r="A394" s="766"/>
      <c r="B394" s="506">
        <v>104031</v>
      </c>
      <c r="C394" s="507" t="s">
        <v>524</v>
      </c>
      <c r="D394" s="26"/>
      <c r="E394" s="26"/>
      <c r="F394" s="26"/>
      <c r="G394" s="28"/>
      <c r="H394" s="762"/>
      <c r="I394" s="763"/>
    </row>
    <row r="395" spans="1:27">
      <c r="A395" s="766"/>
      <c r="B395" s="506">
        <v>104035</v>
      </c>
      <c r="C395" s="507" t="s">
        <v>525</v>
      </c>
      <c r="D395" s="26"/>
      <c r="E395" s="26"/>
      <c r="F395" s="26"/>
      <c r="G395" s="28"/>
      <c r="H395" s="762"/>
      <c r="I395" s="763"/>
    </row>
    <row r="396" spans="1:27">
      <c r="A396" s="766"/>
      <c r="B396" s="506">
        <v>104036</v>
      </c>
      <c r="C396" s="507" t="s">
        <v>526</v>
      </c>
      <c r="D396" s="26"/>
      <c r="E396" s="26"/>
      <c r="F396" s="26"/>
      <c r="G396" s="28"/>
      <c r="H396" s="762"/>
      <c r="I396" s="763"/>
    </row>
    <row r="397" spans="1:27" s="680" customFormat="1">
      <c r="A397" s="767" t="s">
        <v>528</v>
      </c>
      <c r="B397" s="767"/>
      <c r="C397" s="767"/>
      <c r="D397" s="27">
        <f>SUM(D398+D406+D413)</f>
        <v>0</v>
      </c>
      <c r="E397" s="27">
        <f>SUM(E398+E406+E413)</f>
        <v>1050000</v>
      </c>
      <c r="F397" s="27">
        <f>SUM(F398+F406+F413)</f>
        <v>1050000</v>
      </c>
      <c r="G397" s="445">
        <f>ROUND(F397/E397*100,2)</f>
        <v>100</v>
      </c>
      <c r="H397" s="762"/>
      <c r="I397" s="763"/>
      <c r="J397" s="678"/>
      <c r="K397" s="678"/>
      <c r="L397" s="678"/>
      <c r="M397" s="678"/>
      <c r="N397" s="678"/>
      <c r="O397" s="678"/>
      <c r="P397" s="679"/>
      <c r="Q397" s="679"/>
      <c r="R397" s="679"/>
      <c r="S397" s="679"/>
      <c r="T397" s="679"/>
      <c r="U397" s="679"/>
      <c r="V397" s="679"/>
      <c r="W397" s="679"/>
      <c r="X397" s="679"/>
      <c r="Y397" s="679"/>
      <c r="Z397" s="679"/>
      <c r="AA397" s="679"/>
    </row>
    <row r="398" spans="1:27" s="687" customFormat="1">
      <c r="A398" s="768" t="s">
        <v>530</v>
      </c>
      <c r="B398" s="768"/>
      <c r="C398" s="768"/>
      <c r="D398" s="32">
        <f>SUM(D399:D405)</f>
        <v>0</v>
      </c>
      <c r="E398" s="32">
        <f>SUM(E399:E405)</f>
        <v>0</v>
      </c>
      <c r="F398" s="32">
        <f>SUM(F399:F405)</f>
        <v>0</v>
      </c>
      <c r="G398" s="33">
        <v>0</v>
      </c>
      <c r="H398" s="762"/>
      <c r="I398" s="763"/>
      <c r="J398" s="678"/>
      <c r="K398" s="678"/>
      <c r="L398" s="678"/>
      <c r="M398" s="678"/>
      <c r="N398" s="678"/>
      <c r="O398" s="678"/>
      <c r="P398" s="679"/>
      <c r="Q398" s="679"/>
      <c r="R398" s="679"/>
      <c r="S398" s="679"/>
      <c r="T398" s="679"/>
      <c r="U398" s="679"/>
      <c r="V398" s="679"/>
      <c r="W398" s="679"/>
      <c r="X398" s="679"/>
      <c r="Y398" s="679"/>
      <c r="Z398" s="679"/>
      <c r="AA398" s="679"/>
    </row>
    <row r="399" spans="1:27">
      <c r="A399" s="766"/>
      <c r="B399" s="506">
        <v>107052</v>
      </c>
      <c r="C399" s="507" t="s">
        <v>518</v>
      </c>
      <c r="D399" s="26"/>
      <c r="E399" s="26"/>
      <c r="F399" s="26"/>
      <c r="G399" s="28"/>
      <c r="H399" s="762"/>
      <c r="I399" s="763"/>
    </row>
    <row r="400" spans="1:27">
      <c r="A400" s="766"/>
      <c r="B400" s="506">
        <v>107053</v>
      </c>
      <c r="C400" s="507" t="s">
        <v>519</v>
      </c>
      <c r="D400" s="26"/>
      <c r="E400" s="26"/>
      <c r="F400" s="26"/>
      <c r="G400" s="28"/>
      <c r="H400" s="762"/>
      <c r="I400" s="763"/>
    </row>
    <row r="401" spans="1:27">
      <c r="A401" s="766"/>
      <c r="B401" s="506">
        <v>107051</v>
      </c>
      <c r="C401" s="507" t="s">
        <v>194</v>
      </c>
      <c r="D401" s="26"/>
      <c r="E401" s="26"/>
      <c r="F401" s="26"/>
      <c r="G401" s="28"/>
      <c r="H401" s="762"/>
      <c r="I401" s="763"/>
    </row>
    <row r="402" spans="1:27">
      <c r="A402" s="766"/>
      <c r="B402" s="506">
        <v>102031</v>
      </c>
      <c r="C402" s="507" t="s">
        <v>520</v>
      </c>
      <c r="D402" s="26"/>
      <c r="E402" s="26"/>
      <c r="F402" s="26"/>
      <c r="G402" s="28"/>
      <c r="H402" s="762"/>
      <c r="I402" s="763"/>
    </row>
    <row r="403" spans="1:27">
      <c r="A403" s="766"/>
      <c r="B403" s="506">
        <v>107013</v>
      </c>
      <c r="C403" s="507" t="s">
        <v>532</v>
      </c>
      <c r="D403" s="26"/>
      <c r="E403" s="26"/>
      <c r="F403" s="26"/>
      <c r="G403" s="28"/>
      <c r="H403" s="762"/>
      <c r="I403" s="763"/>
    </row>
    <row r="404" spans="1:27">
      <c r="A404" s="766"/>
      <c r="B404" s="508" t="s">
        <v>510</v>
      </c>
      <c r="C404" s="507" t="s">
        <v>533</v>
      </c>
      <c r="D404" s="26"/>
      <c r="E404" s="26"/>
      <c r="F404" s="26"/>
      <c r="G404" s="28"/>
      <c r="H404" s="762"/>
      <c r="I404" s="763"/>
    </row>
    <row r="405" spans="1:27">
      <c r="A405" s="766"/>
      <c r="B405" s="508" t="s">
        <v>508</v>
      </c>
      <c r="C405" s="507" t="s">
        <v>516</v>
      </c>
      <c r="D405" s="26"/>
      <c r="E405" s="26"/>
      <c r="F405" s="26"/>
      <c r="G405" s="28"/>
      <c r="H405" s="762"/>
      <c r="I405" s="763"/>
    </row>
    <row r="406" spans="1:27" s="688" customFormat="1">
      <c r="A406" s="769" t="s">
        <v>529</v>
      </c>
      <c r="B406" s="769"/>
      <c r="C406" s="769"/>
      <c r="D406" s="36">
        <f>SUM(D407:D412)</f>
        <v>0</v>
      </c>
      <c r="E406" s="36">
        <f>SUM(E407:E412)</f>
        <v>1050000</v>
      </c>
      <c r="F406" s="697">
        <f>SUM(F407:F412)</f>
        <v>1050000</v>
      </c>
      <c r="G406" s="698">
        <f>ROUND(F406/E406*100,2)</f>
        <v>100</v>
      </c>
      <c r="H406" s="762"/>
      <c r="I406" s="763"/>
      <c r="J406" s="678"/>
      <c r="K406" s="678"/>
      <c r="L406" s="678"/>
      <c r="M406" s="678"/>
      <c r="N406" s="678"/>
      <c r="O406" s="678"/>
      <c r="P406" s="679"/>
      <c r="Q406" s="679"/>
      <c r="R406" s="679"/>
      <c r="S406" s="679"/>
      <c r="T406" s="679"/>
      <c r="U406" s="679"/>
      <c r="V406" s="679"/>
      <c r="W406" s="679"/>
      <c r="X406" s="679"/>
      <c r="Y406" s="679"/>
      <c r="Z406" s="679"/>
      <c r="AA406" s="679"/>
    </row>
    <row r="407" spans="1:27">
      <c r="A407" s="766"/>
      <c r="B407" s="506">
        <v>104042</v>
      </c>
      <c r="C407" s="507" t="s">
        <v>522</v>
      </c>
      <c r="D407" s="26"/>
      <c r="E407" s="26"/>
      <c r="F407" s="26"/>
      <c r="G407" s="28"/>
      <c r="H407" s="762"/>
      <c r="I407" s="763"/>
    </row>
    <row r="408" spans="1:27">
      <c r="A408" s="766"/>
      <c r="B408" s="506">
        <v>104043</v>
      </c>
      <c r="C408" s="507" t="s">
        <v>523</v>
      </c>
      <c r="D408" s="26"/>
      <c r="E408" s="26"/>
      <c r="F408" s="26"/>
      <c r="G408" s="28"/>
      <c r="H408" s="762"/>
      <c r="I408" s="763"/>
    </row>
    <row r="409" spans="1:27" ht="25.5">
      <c r="A409" s="766"/>
      <c r="B409" s="506">
        <v>104042</v>
      </c>
      <c r="C409" s="510" t="s">
        <v>1191</v>
      </c>
      <c r="D409" s="26">
        <v>0</v>
      </c>
      <c r="E409" s="26">
        <v>1050000</v>
      </c>
      <c r="F409" s="26">
        <v>1050000</v>
      </c>
      <c r="G409" s="445">
        <f>ROUND(F409/E409*100,2)</f>
        <v>100</v>
      </c>
      <c r="H409" s="762"/>
      <c r="I409" s="763"/>
    </row>
    <row r="410" spans="1:27">
      <c r="A410" s="766"/>
      <c r="B410" s="506">
        <v>104043</v>
      </c>
      <c r="C410" s="507" t="s">
        <v>882</v>
      </c>
      <c r="D410" s="26"/>
      <c r="E410" s="26"/>
      <c r="F410" s="26"/>
      <c r="G410" s="28"/>
      <c r="H410" s="762"/>
      <c r="I410" s="763"/>
    </row>
    <row r="411" spans="1:27">
      <c r="A411" s="766"/>
      <c r="B411" s="508" t="s">
        <v>510</v>
      </c>
      <c r="C411" s="507" t="s">
        <v>533</v>
      </c>
      <c r="D411" s="26"/>
      <c r="E411" s="26"/>
      <c r="F411" s="26"/>
      <c r="G411" s="28"/>
      <c r="H411" s="762"/>
      <c r="I411" s="763"/>
    </row>
    <row r="412" spans="1:27">
      <c r="A412" s="766"/>
      <c r="B412" s="508" t="s">
        <v>508</v>
      </c>
      <c r="C412" s="507" t="s">
        <v>516</v>
      </c>
      <c r="D412" s="26"/>
      <c r="E412" s="26"/>
      <c r="F412" s="26"/>
      <c r="G412" s="28"/>
      <c r="H412" s="762"/>
      <c r="I412" s="763"/>
    </row>
    <row r="413" spans="1:27" s="689" customFormat="1">
      <c r="A413" s="770" t="s">
        <v>531</v>
      </c>
      <c r="B413" s="770"/>
      <c r="C413" s="770"/>
      <c r="D413" s="34">
        <f>SUM(D414:D419)</f>
        <v>0</v>
      </c>
      <c r="E413" s="34">
        <f>SUM(E414:E419)</f>
        <v>0</v>
      </c>
      <c r="F413" s="34">
        <f>SUM(F414:F419)</f>
        <v>0</v>
      </c>
      <c r="G413" s="35">
        <v>0</v>
      </c>
      <c r="H413" s="762"/>
      <c r="I413" s="763"/>
      <c r="J413" s="678"/>
      <c r="K413" s="678"/>
      <c r="L413" s="678"/>
      <c r="M413" s="678"/>
      <c r="N413" s="678"/>
      <c r="O413" s="678"/>
      <c r="P413" s="679"/>
      <c r="Q413" s="679"/>
      <c r="R413" s="679"/>
      <c r="S413" s="679"/>
      <c r="T413" s="679"/>
      <c r="U413" s="679"/>
      <c r="V413" s="679"/>
      <c r="W413" s="679"/>
      <c r="X413" s="679"/>
      <c r="Y413" s="679"/>
      <c r="Z413" s="679"/>
      <c r="AA413" s="679"/>
    </row>
    <row r="414" spans="1:27">
      <c r="A414" s="766"/>
      <c r="B414" s="506">
        <v>104031</v>
      </c>
      <c r="C414" s="507" t="s">
        <v>524</v>
      </c>
      <c r="D414" s="26"/>
      <c r="E414" s="26"/>
      <c r="F414" s="26"/>
      <c r="G414" s="28"/>
      <c r="H414" s="762"/>
      <c r="I414" s="763"/>
    </row>
    <row r="415" spans="1:27">
      <c r="A415" s="766"/>
      <c r="B415" s="506">
        <v>104035</v>
      </c>
      <c r="C415" s="507" t="s">
        <v>525</v>
      </c>
      <c r="D415" s="26"/>
      <c r="E415" s="26"/>
      <c r="F415" s="26"/>
      <c r="G415" s="28"/>
      <c r="H415" s="762"/>
      <c r="I415" s="763"/>
    </row>
    <row r="416" spans="1:27">
      <c r="A416" s="766"/>
      <c r="B416" s="506">
        <v>104036</v>
      </c>
      <c r="C416" s="507" t="s">
        <v>526</v>
      </c>
      <c r="D416" s="26"/>
      <c r="E416" s="26"/>
      <c r="F416" s="26"/>
      <c r="G416" s="28"/>
      <c r="H416" s="762"/>
      <c r="I416" s="763"/>
    </row>
    <row r="417" spans="1:27">
      <c r="A417" s="766"/>
      <c r="B417" s="506">
        <v>104037</v>
      </c>
      <c r="C417" s="507" t="s">
        <v>534</v>
      </c>
      <c r="D417" s="26"/>
      <c r="E417" s="26"/>
      <c r="F417" s="26"/>
      <c r="G417" s="28"/>
      <c r="H417" s="762"/>
      <c r="I417" s="763"/>
    </row>
    <row r="418" spans="1:27">
      <c r="A418" s="766"/>
      <c r="B418" s="508" t="s">
        <v>510</v>
      </c>
      <c r="C418" s="507" t="s">
        <v>533</v>
      </c>
      <c r="D418" s="26"/>
      <c r="E418" s="26"/>
      <c r="F418" s="26"/>
      <c r="G418" s="28"/>
      <c r="H418" s="762"/>
      <c r="I418" s="763"/>
    </row>
    <row r="419" spans="1:27">
      <c r="A419" s="766"/>
      <c r="B419" s="508" t="s">
        <v>508</v>
      </c>
      <c r="C419" s="507" t="s">
        <v>516</v>
      </c>
      <c r="D419" s="26"/>
      <c r="E419" s="26"/>
      <c r="F419" s="26"/>
      <c r="G419" s="28"/>
      <c r="H419" s="762"/>
      <c r="I419" s="763"/>
    </row>
    <row r="422" spans="1:27" s="685" customFormat="1" ht="15.75">
      <c r="A422" s="761" t="s">
        <v>1035</v>
      </c>
      <c r="B422" s="761"/>
      <c r="C422" s="761"/>
      <c r="D422" s="38">
        <f>SUM(D424+D441)</f>
        <v>368611389</v>
      </c>
      <c r="E422" s="38">
        <f>SUM(E424+E441)</f>
        <v>388199158</v>
      </c>
      <c r="F422" s="38">
        <f>SUM(F424+F441)</f>
        <v>388199158</v>
      </c>
      <c r="G422" s="39">
        <f>ROUND(F422/E422*100,2)</f>
        <v>100</v>
      </c>
      <c r="H422" s="762"/>
      <c r="I422" s="763"/>
      <c r="J422" s="683"/>
      <c r="K422" s="683"/>
      <c r="L422" s="683"/>
      <c r="M422" s="683"/>
      <c r="N422" s="683"/>
      <c r="O422" s="683"/>
      <c r="P422" s="684"/>
      <c r="Q422" s="684"/>
      <c r="R422" s="684"/>
      <c r="S422" s="684"/>
      <c r="T422" s="684"/>
      <c r="U422" s="684"/>
      <c r="V422" s="684"/>
      <c r="W422" s="684"/>
      <c r="X422" s="684"/>
      <c r="Y422" s="684"/>
      <c r="Z422" s="684"/>
      <c r="AA422" s="684"/>
    </row>
    <row r="423" spans="1:27" s="680" customFormat="1">
      <c r="A423" s="764" t="s">
        <v>1</v>
      </c>
      <c r="B423" s="764"/>
      <c r="C423" s="764"/>
      <c r="D423" s="27">
        <f>SUM(D424)</f>
        <v>368611389</v>
      </c>
      <c r="E423" s="27">
        <f>SUM(E424)</f>
        <v>388199158</v>
      </c>
      <c r="F423" s="27">
        <f>SUM(F424)</f>
        <v>388199158</v>
      </c>
      <c r="G423" s="29">
        <f>ROUND(F423/E423*100,2)</f>
        <v>100</v>
      </c>
      <c r="H423" s="762"/>
      <c r="I423" s="763"/>
      <c r="J423" s="678"/>
      <c r="K423" s="678"/>
      <c r="L423" s="678"/>
      <c r="M423" s="678"/>
      <c r="N423" s="678"/>
      <c r="O423" s="678"/>
      <c r="P423" s="679"/>
      <c r="Q423" s="679"/>
      <c r="R423" s="679"/>
      <c r="S423" s="679"/>
      <c r="T423" s="679"/>
      <c r="U423" s="679"/>
      <c r="V423" s="679"/>
      <c r="W423" s="679"/>
      <c r="X423" s="679"/>
      <c r="Y423" s="679"/>
      <c r="Z423" s="679"/>
      <c r="AA423" s="679"/>
    </row>
    <row r="424" spans="1:27" s="686" customFormat="1">
      <c r="A424" s="765" t="s">
        <v>527</v>
      </c>
      <c r="B424" s="765"/>
      <c r="C424" s="765"/>
      <c r="D424" s="30">
        <f>SUM(D425:D440)</f>
        <v>368611389</v>
      </c>
      <c r="E424" s="30">
        <f>SUM(E425:E440)</f>
        <v>388199158</v>
      </c>
      <c r="F424" s="30">
        <f>SUM(F425:F440)</f>
        <v>388199158</v>
      </c>
      <c r="G424" s="31">
        <f>ROUND(F424/E424*100,2)</f>
        <v>100</v>
      </c>
      <c r="H424" s="762"/>
      <c r="I424" s="763"/>
      <c r="J424" s="678"/>
      <c r="K424" s="678"/>
      <c r="L424" s="678"/>
      <c r="M424" s="678"/>
      <c r="N424" s="678"/>
      <c r="O424" s="678"/>
      <c r="P424" s="679"/>
      <c r="Q424" s="679"/>
      <c r="R424" s="679"/>
      <c r="S424" s="679"/>
      <c r="T424" s="679"/>
      <c r="U424" s="679"/>
      <c r="V424" s="679"/>
      <c r="W424" s="679"/>
      <c r="X424" s="679"/>
      <c r="Y424" s="679"/>
      <c r="Z424" s="679"/>
      <c r="AA424" s="679"/>
    </row>
    <row r="425" spans="1:27">
      <c r="A425" s="766"/>
      <c r="B425" s="508" t="s">
        <v>506</v>
      </c>
      <c r="C425" s="507" t="s">
        <v>512</v>
      </c>
      <c r="D425" s="26"/>
      <c r="E425" s="26"/>
      <c r="F425" s="26"/>
      <c r="G425" s="28"/>
      <c r="H425" s="762"/>
      <c r="I425" s="763"/>
    </row>
    <row r="426" spans="1:27">
      <c r="A426" s="766"/>
      <c r="B426" s="508" t="s">
        <v>507</v>
      </c>
      <c r="C426" s="507" t="s">
        <v>517</v>
      </c>
      <c r="D426" s="26"/>
      <c r="E426" s="26"/>
      <c r="F426" s="26"/>
      <c r="G426" s="28"/>
      <c r="H426" s="762"/>
      <c r="I426" s="763"/>
    </row>
    <row r="427" spans="1:27">
      <c r="A427" s="766"/>
      <c r="B427" s="506">
        <v>107052</v>
      </c>
      <c r="C427" s="507" t="s">
        <v>515</v>
      </c>
      <c r="D427" s="26"/>
      <c r="E427" s="26"/>
      <c r="F427" s="26"/>
      <c r="G427" s="28"/>
      <c r="H427" s="762"/>
      <c r="I427" s="763"/>
    </row>
    <row r="428" spans="1:27">
      <c r="A428" s="766"/>
      <c r="B428" s="508" t="s">
        <v>513</v>
      </c>
      <c r="C428" s="507" t="s">
        <v>514</v>
      </c>
      <c r="D428" s="26"/>
      <c r="E428" s="26"/>
      <c r="F428" s="26"/>
      <c r="G428" s="28"/>
      <c r="H428" s="762"/>
      <c r="I428" s="763"/>
    </row>
    <row r="429" spans="1:27">
      <c r="A429" s="766"/>
      <c r="B429" s="508" t="s">
        <v>508</v>
      </c>
      <c r="C429" s="507" t="s">
        <v>516</v>
      </c>
      <c r="D429" s="26">
        <v>368611389</v>
      </c>
      <c r="E429" s="26">
        <f>388441268-242110</f>
        <v>388199158</v>
      </c>
      <c r="F429" s="26">
        <f>388441268-242110</f>
        <v>388199158</v>
      </c>
      <c r="G429" s="28">
        <f>ROUND(F429/E429*100,2)</f>
        <v>100</v>
      </c>
      <c r="H429" s="762"/>
      <c r="I429" s="763"/>
    </row>
    <row r="430" spans="1:27">
      <c r="A430" s="766"/>
      <c r="B430" s="508" t="s">
        <v>509</v>
      </c>
      <c r="C430" s="507" t="s">
        <v>511</v>
      </c>
      <c r="D430" s="26"/>
      <c r="E430" s="26"/>
      <c r="F430" s="26"/>
      <c r="G430" s="28"/>
      <c r="H430" s="762"/>
      <c r="I430" s="763"/>
    </row>
    <row r="431" spans="1:27">
      <c r="A431" s="766"/>
      <c r="B431" s="506">
        <v>107052</v>
      </c>
      <c r="C431" s="507" t="s">
        <v>518</v>
      </c>
      <c r="D431" s="26"/>
      <c r="E431" s="26"/>
      <c r="F431" s="26"/>
      <c r="G431" s="28"/>
      <c r="H431" s="762"/>
      <c r="I431" s="763"/>
    </row>
    <row r="432" spans="1:27">
      <c r="A432" s="766"/>
      <c r="B432" s="506">
        <v>107051</v>
      </c>
      <c r="C432" s="507" t="s">
        <v>194</v>
      </c>
      <c r="D432" s="26"/>
      <c r="E432" s="26"/>
      <c r="F432" s="26"/>
      <c r="G432" s="28"/>
      <c r="H432" s="762"/>
      <c r="I432" s="763"/>
    </row>
    <row r="433" spans="1:27">
      <c r="A433" s="766"/>
      <c r="B433" s="506">
        <v>107053</v>
      </c>
      <c r="C433" s="507" t="s">
        <v>519</v>
      </c>
      <c r="D433" s="26"/>
      <c r="E433" s="26"/>
      <c r="F433" s="26"/>
      <c r="G433" s="28"/>
      <c r="H433" s="762"/>
      <c r="I433" s="763"/>
    </row>
    <row r="434" spans="1:27">
      <c r="A434" s="766"/>
      <c r="B434" s="506">
        <v>102031</v>
      </c>
      <c r="C434" s="507" t="s">
        <v>520</v>
      </c>
      <c r="D434" s="26"/>
      <c r="E434" s="26"/>
      <c r="F434" s="26"/>
      <c r="G434" s="28"/>
      <c r="H434" s="762"/>
      <c r="I434" s="763"/>
    </row>
    <row r="435" spans="1:27">
      <c r="A435" s="766"/>
      <c r="B435" s="506">
        <v>107013</v>
      </c>
      <c r="C435" s="507" t="s">
        <v>521</v>
      </c>
      <c r="D435" s="26"/>
      <c r="E435" s="26"/>
      <c r="F435" s="26"/>
      <c r="G435" s="28"/>
      <c r="H435" s="762"/>
      <c r="I435" s="763"/>
    </row>
    <row r="436" spans="1:27">
      <c r="A436" s="766"/>
      <c r="B436" s="506">
        <v>104042</v>
      </c>
      <c r="C436" s="507" t="s">
        <v>522</v>
      </c>
      <c r="D436" s="26"/>
      <c r="E436" s="26"/>
      <c r="F436" s="26"/>
      <c r="G436" s="28"/>
      <c r="H436" s="762"/>
      <c r="I436" s="763"/>
    </row>
    <row r="437" spans="1:27">
      <c r="A437" s="766"/>
      <c r="B437" s="506">
        <v>104043</v>
      </c>
      <c r="C437" s="507" t="s">
        <v>523</v>
      </c>
      <c r="D437" s="26"/>
      <c r="E437" s="26"/>
      <c r="F437" s="26"/>
      <c r="G437" s="28"/>
      <c r="H437" s="762"/>
      <c r="I437" s="763"/>
    </row>
    <row r="438" spans="1:27">
      <c r="A438" s="766"/>
      <c r="B438" s="506">
        <v>104031</v>
      </c>
      <c r="C438" s="507" t="s">
        <v>524</v>
      </c>
      <c r="D438" s="26"/>
      <c r="E438" s="26"/>
      <c r="F438" s="26"/>
      <c r="G438" s="28"/>
      <c r="H438" s="762"/>
      <c r="I438" s="763"/>
    </row>
    <row r="439" spans="1:27">
      <c r="A439" s="766"/>
      <c r="B439" s="506">
        <v>104035</v>
      </c>
      <c r="C439" s="507" t="s">
        <v>525</v>
      </c>
      <c r="D439" s="26"/>
      <c r="E439" s="26"/>
      <c r="F439" s="26"/>
      <c r="G439" s="28"/>
      <c r="H439" s="762"/>
      <c r="I439" s="763"/>
    </row>
    <row r="440" spans="1:27">
      <c r="A440" s="766"/>
      <c r="B440" s="506">
        <v>104036</v>
      </c>
      <c r="C440" s="507" t="s">
        <v>526</v>
      </c>
      <c r="D440" s="26"/>
      <c r="E440" s="26"/>
      <c r="F440" s="26"/>
      <c r="G440" s="28"/>
      <c r="H440" s="762"/>
      <c r="I440" s="763"/>
    </row>
    <row r="441" spans="1:27" s="680" customFormat="1">
      <c r="A441" s="767" t="s">
        <v>528</v>
      </c>
      <c r="B441" s="767"/>
      <c r="C441" s="767"/>
      <c r="D441" s="27">
        <f>SUM(D442+D450+D457)</f>
        <v>0</v>
      </c>
      <c r="E441" s="27">
        <f>SUM(E442+E450+E457)</f>
        <v>0</v>
      </c>
      <c r="F441" s="27">
        <f>SUM(F442+F450+F457)</f>
        <v>0</v>
      </c>
      <c r="G441" s="29">
        <v>0</v>
      </c>
      <c r="H441" s="762"/>
      <c r="I441" s="763"/>
      <c r="J441" s="678"/>
      <c r="K441" s="678"/>
      <c r="L441" s="678"/>
      <c r="M441" s="678"/>
      <c r="N441" s="678"/>
      <c r="O441" s="678"/>
      <c r="P441" s="679"/>
      <c r="Q441" s="679"/>
      <c r="R441" s="679"/>
      <c r="S441" s="679"/>
      <c r="T441" s="679"/>
      <c r="U441" s="679"/>
      <c r="V441" s="679"/>
      <c r="W441" s="679"/>
      <c r="X441" s="679"/>
      <c r="Y441" s="679"/>
      <c r="Z441" s="679"/>
      <c r="AA441" s="679"/>
    </row>
    <row r="442" spans="1:27" s="687" customFormat="1">
      <c r="A442" s="768" t="s">
        <v>530</v>
      </c>
      <c r="B442" s="768"/>
      <c r="C442" s="768"/>
      <c r="D442" s="32">
        <f>SUM(D443:D449)</f>
        <v>0</v>
      </c>
      <c r="E442" s="32">
        <f>SUM(E443:E449)</f>
        <v>0</v>
      </c>
      <c r="F442" s="32">
        <f>SUM(F443:F449)</f>
        <v>0</v>
      </c>
      <c r="G442" s="33">
        <v>0</v>
      </c>
      <c r="H442" s="762"/>
      <c r="I442" s="763"/>
      <c r="J442" s="678"/>
      <c r="K442" s="678"/>
      <c r="L442" s="678"/>
      <c r="M442" s="678"/>
      <c r="N442" s="678"/>
      <c r="O442" s="678"/>
      <c r="P442" s="679"/>
      <c r="Q442" s="679"/>
      <c r="R442" s="679"/>
      <c r="S442" s="679"/>
      <c r="T442" s="679"/>
      <c r="U442" s="679"/>
      <c r="V442" s="679"/>
      <c r="W442" s="679"/>
      <c r="X442" s="679"/>
      <c r="Y442" s="679"/>
      <c r="Z442" s="679"/>
      <c r="AA442" s="679"/>
    </row>
    <row r="443" spans="1:27">
      <c r="A443" s="766"/>
      <c r="B443" s="506">
        <v>107052</v>
      </c>
      <c r="C443" s="507" t="s">
        <v>518</v>
      </c>
      <c r="D443" s="26"/>
      <c r="E443" s="26"/>
      <c r="F443" s="26"/>
      <c r="G443" s="28"/>
      <c r="H443" s="762"/>
      <c r="I443" s="763"/>
    </row>
    <row r="444" spans="1:27">
      <c r="A444" s="766"/>
      <c r="B444" s="506">
        <v>107053</v>
      </c>
      <c r="C444" s="507" t="s">
        <v>519</v>
      </c>
      <c r="D444" s="26"/>
      <c r="E444" s="26"/>
      <c r="F444" s="26"/>
      <c r="G444" s="28"/>
      <c r="H444" s="762"/>
      <c r="I444" s="763"/>
    </row>
    <row r="445" spans="1:27">
      <c r="A445" s="766"/>
      <c r="B445" s="506">
        <v>107051</v>
      </c>
      <c r="C445" s="507" t="s">
        <v>194</v>
      </c>
      <c r="D445" s="26"/>
      <c r="E445" s="26"/>
      <c r="F445" s="26"/>
      <c r="G445" s="28"/>
      <c r="H445" s="762"/>
      <c r="I445" s="763"/>
    </row>
    <row r="446" spans="1:27">
      <c r="A446" s="766"/>
      <c r="B446" s="506">
        <v>102031</v>
      </c>
      <c r="C446" s="507" t="s">
        <v>520</v>
      </c>
      <c r="D446" s="26"/>
      <c r="E446" s="26"/>
      <c r="F446" s="26"/>
      <c r="G446" s="28"/>
      <c r="H446" s="762"/>
      <c r="I446" s="763"/>
    </row>
    <row r="447" spans="1:27">
      <c r="A447" s="766"/>
      <c r="B447" s="506">
        <v>107013</v>
      </c>
      <c r="C447" s="507" t="s">
        <v>532</v>
      </c>
      <c r="D447" s="26"/>
      <c r="E447" s="26"/>
      <c r="F447" s="26"/>
      <c r="G447" s="28"/>
      <c r="H447" s="762"/>
      <c r="I447" s="763"/>
    </row>
    <row r="448" spans="1:27">
      <c r="A448" s="766"/>
      <c r="B448" s="508" t="s">
        <v>510</v>
      </c>
      <c r="C448" s="507" t="s">
        <v>533</v>
      </c>
      <c r="D448" s="26"/>
      <c r="E448" s="26"/>
      <c r="F448" s="26"/>
      <c r="G448" s="28"/>
      <c r="H448" s="762"/>
      <c r="I448" s="763"/>
    </row>
    <row r="449" spans="1:27">
      <c r="A449" s="766"/>
      <c r="B449" s="508" t="s">
        <v>508</v>
      </c>
      <c r="C449" s="507" t="s">
        <v>516</v>
      </c>
      <c r="D449" s="26"/>
      <c r="E449" s="26"/>
      <c r="F449" s="26">
        <v>0</v>
      </c>
      <c r="G449" s="28"/>
      <c r="H449" s="762"/>
      <c r="I449" s="763"/>
    </row>
    <row r="450" spans="1:27" s="688" customFormat="1">
      <c r="A450" s="769" t="s">
        <v>529</v>
      </c>
      <c r="B450" s="769"/>
      <c r="C450" s="769"/>
      <c r="D450" s="36">
        <f>SUM(D452:D456)</f>
        <v>0</v>
      </c>
      <c r="E450" s="36">
        <f>SUM(E451:E456)</f>
        <v>0</v>
      </c>
      <c r="F450" s="36">
        <f>SUM(F451:F456)</f>
        <v>0</v>
      </c>
      <c r="G450" s="37">
        <v>0</v>
      </c>
      <c r="H450" s="762"/>
      <c r="I450" s="763"/>
      <c r="J450" s="678"/>
      <c r="K450" s="678"/>
      <c r="L450" s="678"/>
      <c r="M450" s="678"/>
      <c r="N450" s="678"/>
      <c r="O450" s="678"/>
      <c r="P450" s="679"/>
      <c r="Q450" s="679"/>
      <c r="R450" s="679"/>
      <c r="S450" s="679"/>
      <c r="T450" s="679"/>
      <c r="U450" s="679"/>
      <c r="V450" s="679"/>
      <c r="W450" s="679"/>
      <c r="X450" s="679"/>
      <c r="Y450" s="679"/>
      <c r="Z450" s="679"/>
      <c r="AA450" s="679"/>
    </row>
    <row r="451" spans="1:27">
      <c r="A451" s="766"/>
      <c r="B451" s="506">
        <v>104042</v>
      </c>
      <c r="C451" s="507" t="s">
        <v>522</v>
      </c>
      <c r="E451" s="26"/>
      <c r="F451" s="26"/>
      <c r="G451" s="28"/>
      <c r="H451" s="762"/>
      <c r="I451" s="763"/>
    </row>
    <row r="452" spans="1:27">
      <c r="A452" s="766"/>
      <c r="B452" s="506">
        <v>104043</v>
      </c>
      <c r="C452" s="507" t="s">
        <v>523</v>
      </c>
      <c r="D452" s="26"/>
      <c r="E452" s="26"/>
      <c r="F452" s="26"/>
      <c r="G452" s="28"/>
      <c r="H452" s="762"/>
      <c r="I452" s="763"/>
    </row>
    <row r="453" spans="1:27" ht="25.5">
      <c r="A453" s="766"/>
      <c r="B453" s="506">
        <v>104042</v>
      </c>
      <c r="C453" s="510" t="s">
        <v>1191</v>
      </c>
      <c r="D453" s="26"/>
      <c r="E453" s="26"/>
      <c r="F453" s="26"/>
      <c r="G453" s="28"/>
      <c r="H453" s="762"/>
      <c r="I453" s="763"/>
    </row>
    <row r="454" spans="1:27">
      <c r="A454" s="766"/>
      <c r="B454" s="506">
        <v>104043</v>
      </c>
      <c r="C454" s="507" t="s">
        <v>882</v>
      </c>
      <c r="D454" s="26"/>
      <c r="E454" s="26"/>
      <c r="F454" s="26"/>
      <c r="G454" s="28"/>
      <c r="H454" s="762"/>
      <c r="I454" s="763"/>
    </row>
    <row r="455" spans="1:27">
      <c r="A455" s="766"/>
      <c r="B455" s="508" t="s">
        <v>510</v>
      </c>
      <c r="C455" s="507" t="s">
        <v>533</v>
      </c>
      <c r="D455" s="26"/>
      <c r="E455" s="26"/>
      <c r="F455" s="26"/>
      <c r="G455" s="28"/>
      <c r="H455" s="762"/>
      <c r="I455" s="763"/>
    </row>
    <row r="456" spans="1:27">
      <c r="A456" s="766"/>
      <c r="B456" s="508" t="s">
        <v>508</v>
      </c>
      <c r="C456" s="507" t="s">
        <v>516</v>
      </c>
      <c r="D456" s="26"/>
      <c r="E456" s="26"/>
      <c r="F456" s="26"/>
      <c r="G456" s="28"/>
      <c r="H456" s="762"/>
      <c r="I456" s="763"/>
    </row>
    <row r="457" spans="1:27" s="689" customFormat="1">
      <c r="A457" s="770" t="s">
        <v>531</v>
      </c>
      <c r="B457" s="770"/>
      <c r="C457" s="770"/>
      <c r="D457" s="34">
        <f>SUM(D458:D463)</f>
        <v>0</v>
      </c>
      <c r="E457" s="34">
        <f>SUM(E458:E463)</f>
        <v>0</v>
      </c>
      <c r="F457" s="34">
        <f>SUM(F458:F463)</f>
        <v>0</v>
      </c>
      <c r="G457" s="35">
        <v>0</v>
      </c>
      <c r="H457" s="762"/>
      <c r="I457" s="763"/>
      <c r="J457" s="678"/>
      <c r="K457" s="678"/>
      <c r="L457" s="678"/>
      <c r="M457" s="678"/>
      <c r="N457" s="678"/>
      <c r="O457" s="678"/>
      <c r="P457" s="679"/>
      <c r="Q457" s="679"/>
      <c r="R457" s="679"/>
      <c r="S457" s="679"/>
      <c r="T457" s="679"/>
      <c r="U457" s="679"/>
      <c r="V457" s="679"/>
      <c r="W457" s="679"/>
      <c r="X457" s="679"/>
      <c r="Y457" s="679"/>
      <c r="Z457" s="679"/>
      <c r="AA457" s="679"/>
    </row>
    <row r="458" spans="1:27">
      <c r="A458" s="766"/>
      <c r="B458" s="506">
        <v>104031</v>
      </c>
      <c r="C458" s="507" t="s">
        <v>524</v>
      </c>
      <c r="D458" s="26"/>
      <c r="E458" s="26"/>
      <c r="F458" s="26"/>
      <c r="G458" s="28"/>
      <c r="H458" s="762"/>
      <c r="I458" s="763"/>
    </row>
    <row r="459" spans="1:27">
      <c r="A459" s="766"/>
      <c r="B459" s="506">
        <v>104035</v>
      </c>
      <c r="C459" s="507" t="s">
        <v>525</v>
      </c>
      <c r="D459" s="26"/>
      <c r="E459" s="26"/>
      <c r="F459" s="26"/>
      <c r="G459" s="28"/>
      <c r="H459" s="762"/>
      <c r="I459" s="763"/>
    </row>
    <row r="460" spans="1:27">
      <c r="A460" s="766"/>
      <c r="B460" s="506">
        <v>104036</v>
      </c>
      <c r="C460" s="507" t="s">
        <v>526</v>
      </c>
      <c r="D460" s="26"/>
      <c r="E460" s="26"/>
      <c r="F460" s="26"/>
      <c r="G460" s="28"/>
      <c r="H460" s="762"/>
      <c r="I460" s="763"/>
    </row>
    <row r="461" spans="1:27">
      <c r="A461" s="766"/>
      <c r="B461" s="506">
        <v>104037</v>
      </c>
      <c r="C461" s="507" t="s">
        <v>534</v>
      </c>
      <c r="D461" s="26"/>
      <c r="E461" s="26"/>
      <c r="F461" s="26"/>
      <c r="G461" s="28"/>
      <c r="H461" s="762"/>
      <c r="I461" s="763"/>
    </row>
    <row r="462" spans="1:27">
      <c r="A462" s="766"/>
      <c r="B462" s="508" t="s">
        <v>510</v>
      </c>
      <c r="C462" s="507" t="s">
        <v>533</v>
      </c>
      <c r="D462" s="26"/>
      <c r="E462" s="26"/>
      <c r="F462" s="26"/>
      <c r="G462" s="28"/>
      <c r="H462" s="762"/>
      <c r="I462" s="763"/>
    </row>
    <row r="463" spans="1:27">
      <c r="A463" s="766"/>
      <c r="B463" s="508" t="s">
        <v>508</v>
      </c>
      <c r="C463" s="507" t="s">
        <v>516</v>
      </c>
      <c r="D463" s="26"/>
      <c r="E463" s="26"/>
      <c r="F463" s="26"/>
      <c r="G463" s="28"/>
      <c r="H463" s="762"/>
      <c r="I463" s="763"/>
    </row>
    <row r="466" spans="1:27" s="685" customFormat="1" ht="39.75" customHeight="1">
      <c r="A466" s="786" t="s">
        <v>1033</v>
      </c>
      <c r="B466" s="786"/>
      <c r="C466" s="786"/>
      <c r="D466" s="38">
        <f>SUM(D468+D485)</f>
        <v>900000</v>
      </c>
      <c r="E466" s="38">
        <f>SUM(E468+E485)</f>
        <v>900000</v>
      </c>
      <c r="F466" s="38">
        <f>SUM(F468+F485)</f>
        <v>0</v>
      </c>
      <c r="G466" s="39">
        <f>ROUND(F466/E466*100,2)</f>
        <v>0</v>
      </c>
      <c r="H466" s="762"/>
      <c r="I466" s="763"/>
      <c r="J466" s="683"/>
      <c r="K466" s="683"/>
      <c r="L466" s="683"/>
      <c r="M466" s="683"/>
      <c r="N466" s="683"/>
      <c r="O466" s="683"/>
      <c r="P466" s="684"/>
      <c r="Q466" s="684"/>
      <c r="R466" s="684"/>
      <c r="S466" s="684"/>
      <c r="T466" s="684"/>
      <c r="U466" s="684"/>
      <c r="V466" s="684"/>
      <c r="W466" s="684"/>
      <c r="X466" s="684"/>
      <c r="Y466" s="684"/>
      <c r="Z466" s="684"/>
      <c r="AA466" s="684"/>
    </row>
    <row r="467" spans="1:27" s="680" customFormat="1">
      <c r="A467" s="764" t="s">
        <v>1</v>
      </c>
      <c r="B467" s="764"/>
      <c r="C467" s="764"/>
      <c r="D467" s="27">
        <f>SUM(D468)</f>
        <v>900000</v>
      </c>
      <c r="E467" s="27">
        <f>SUM(E468)</f>
        <v>900000</v>
      </c>
      <c r="F467" s="27">
        <f>SUM(F468)</f>
        <v>0</v>
      </c>
      <c r="G467" s="29">
        <f>ROUND(F467/E467*100,2)</f>
        <v>0</v>
      </c>
      <c r="H467" s="762"/>
      <c r="I467" s="763"/>
      <c r="J467" s="678"/>
      <c r="K467" s="678"/>
      <c r="L467" s="678"/>
      <c r="M467" s="678"/>
      <c r="N467" s="678"/>
      <c r="O467" s="678"/>
      <c r="P467" s="679"/>
      <c r="Q467" s="679"/>
      <c r="R467" s="679"/>
      <c r="S467" s="679"/>
      <c r="T467" s="679"/>
      <c r="U467" s="679"/>
      <c r="V467" s="679"/>
      <c r="W467" s="679"/>
      <c r="X467" s="679"/>
      <c r="Y467" s="679"/>
      <c r="Z467" s="679"/>
      <c r="AA467" s="679"/>
    </row>
    <row r="468" spans="1:27" s="686" customFormat="1">
      <c r="A468" s="765" t="s">
        <v>527</v>
      </c>
      <c r="B468" s="765"/>
      <c r="C468" s="765"/>
      <c r="D468" s="30">
        <f>SUM(D469:D484)</f>
        <v>900000</v>
      </c>
      <c r="E468" s="30">
        <f>SUM(E469:E484)</f>
        <v>900000</v>
      </c>
      <c r="F468" s="30">
        <f>SUM(F469:F484)</f>
        <v>0</v>
      </c>
      <c r="G468" s="31">
        <f>ROUND(F468/E468*100,2)</f>
        <v>0</v>
      </c>
      <c r="H468" s="762"/>
      <c r="I468" s="763"/>
      <c r="J468" s="678"/>
      <c r="K468" s="678"/>
      <c r="L468" s="678"/>
      <c r="M468" s="678"/>
      <c r="N468" s="678"/>
      <c r="O468" s="678"/>
      <c r="P468" s="679"/>
      <c r="Q468" s="679"/>
      <c r="R468" s="679"/>
      <c r="S468" s="679"/>
      <c r="T468" s="679"/>
      <c r="U468" s="679"/>
      <c r="V468" s="679"/>
      <c r="W468" s="679"/>
      <c r="X468" s="679"/>
      <c r="Y468" s="679"/>
      <c r="Z468" s="679"/>
      <c r="AA468" s="679"/>
    </row>
    <row r="469" spans="1:27">
      <c r="A469" s="766"/>
      <c r="B469" s="508" t="s">
        <v>506</v>
      </c>
      <c r="C469" s="507" t="s">
        <v>512</v>
      </c>
      <c r="D469" s="26"/>
      <c r="E469" s="26"/>
      <c r="F469" s="26"/>
      <c r="G469" s="28"/>
      <c r="H469" s="762"/>
      <c r="I469" s="763"/>
    </row>
    <row r="470" spans="1:27">
      <c r="A470" s="766"/>
      <c r="B470" s="508" t="s">
        <v>507</v>
      </c>
      <c r="C470" s="507" t="s">
        <v>517</v>
      </c>
      <c r="D470" s="26"/>
      <c r="E470" s="26"/>
      <c r="F470" s="26"/>
      <c r="G470" s="28"/>
      <c r="H470" s="762"/>
      <c r="I470" s="763"/>
    </row>
    <row r="471" spans="1:27">
      <c r="A471" s="766"/>
      <c r="B471" s="506">
        <v>107052</v>
      </c>
      <c r="C471" s="507" t="s">
        <v>515</v>
      </c>
      <c r="D471" s="26"/>
      <c r="E471" s="26"/>
      <c r="F471" s="26"/>
      <c r="G471" s="28"/>
      <c r="H471" s="762"/>
      <c r="I471" s="763"/>
    </row>
    <row r="472" spans="1:27">
      <c r="A472" s="766"/>
      <c r="B472" s="508" t="s">
        <v>513</v>
      </c>
      <c r="C472" s="507" t="s">
        <v>514</v>
      </c>
      <c r="D472" s="26"/>
      <c r="E472" s="26"/>
      <c r="F472" s="26"/>
      <c r="G472" s="28"/>
      <c r="H472" s="762"/>
      <c r="I472" s="763"/>
    </row>
    <row r="473" spans="1:27">
      <c r="A473" s="766"/>
      <c r="B473" s="508" t="s">
        <v>508</v>
      </c>
      <c r="C473" s="507" t="s">
        <v>516</v>
      </c>
      <c r="D473" s="26">
        <v>900000</v>
      </c>
      <c r="E473" s="26">
        <v>900000</v>
      </c>
      <c r="F473" s="26">
        <v>0</v>
      </c>
      <c r="G473" s="28">
        <f>ROUND(F473/E473*100,2)</f>
        <v>0</v>
      </c>
      <c r="H473" s="762"/>
      <c r="I473" s="763"/>
    </row>
    <row r="474" spans="1:27">
      <c r="A474" s="766"/>
      <c r="B474" s="508" t="s">
        <v>509</v>
      </c>
      <c r="C474" s="507" t="s">
        <v>511</v>
      </c>
      <c r="D474" s="26"/>
      <c r="E474" s="26"/>
      <c r="F474" s="26"/>
      <c r="G474" s="28"/>
      <c r="H474" s="762"/>
      <c r="I474" s="763"/>
    </row>
    <row r="475" spans="1:27">
      <c r="A475" s="766"/>
      <c r="B475" s="506">
        <v>107052</v>
      </c>
      <c r="C475" s="507" t="s">
        <v>518</v>
      </c>
      <c r="D475" s="26"/>
      <c r="E475" s="26"/>
      <c r="F475" s="26"/>
      <c r="G475" s="28"/>
      <c r="H475" s="762"/>
      <c r="I475" s="763"/>
    </row>
    <row r="476" spans="1:27">
      <c r="A476" s="766"/>
      <c r="B476" s="506">
        <v>107051</v>
      </c>
      <c r="C476" s="507" t="s">
        <v>194</v>
      </c>
      <c r="D476" s="26"/>
      <c r="E476" s="26"/>
      <c r="F476" s="26"/>
      <c r="G476" s="28"/>
      <c r="H476" s="762"/>
      <c r="I476" s="763"/>
    </row>
    <row r="477" spans="1:27">
      <c r="A477" s="766"/>
      <c r="B477" s="506">
        <v>107053</v>
      </c>
      <c r="C477" s="507" t="s">
        <v>519</v>
      </c>
      <c r="D477" s="26"/>
      <c r="E477" s="26"/>
      <c r="F477" s="26"/>
      <c r="G477" s="28"/>
      <c r="H477" s="762"/>
      <c r="I477" s="763"/>
    </row>
    <row r="478" spans="1:27">
      <c r="A478" s="766"/>
      <c r="B478" s="506">
        <v>102031</v>
      </c>
      <c r="C478" s="507" t="s">
        <v>520</v>
      </c>
      <c r="D478" s="26"/>
      <c r="E478" s="26"/>
      <c r="F478" s="26"/>
      <c r="G478" s="28"/>
      <c r="H478" s="762"/>
      <c r="I478" s="763"/>
    </row>
    <row r="479" spans="1:27">
      <c r="A479" s="766"/>
      <c r="B479" s="506">
        <v>107013</v>
      </c>
      <c r="C479" s="507" t="s">
        <v>521</v>
      </c>
      <c r="D479" s="26"/>
      <c r="E479" s="26"/>
      <c r="F479" s="26"/>
      <c r="G479" s="28"/>
      <c r="H479" s="762"/>
      <c r="I479" s="763"/>
    </row>
    <row r="480" spans="1:27">
      <c r="A480" s="766"/>
      <c r="B480" s="506">
        <v>104042</v>
      </c>
      <c r="C480" s="507" t="s">
        <v>522</v>
      </c>
      <c r="D480" s="26"/>
      <c r="E480" s="26"/>
      <c r="F480" s="26"/>
      <c r="G480" s="28"/>
      <c r="H480" s="762"/>
      <c r="I480" s="763"/>
    </row>
    <row r="481" spans="1:27">
      <c r="A481" s="766"/>
      <c r="B481" s="506">
        <v>104043</v>
      </c>
      <c r="C481" s="507" t="s">
        <v>523</v>
      </c>
      <c r="D481" s="26"/>
      <c r="E481" s="26"/>
      <c r="F481" s="26"/>
      <c r="G481" s="28"/>
      <c r="H481" s="762"/>
      <c r="I481" s="763"/>
    </row>
    <row r="482" spans="1:27">
      <c r="A482" s="766"/>
      <c r="B482" s="506">
        <v>104031</v>
      </c>
      <c r="C482" s="507" t="s">
        <v>524</v>
      </c>
      <c r="D482" s="26"/>
      <c r="E482" s="26"/>
      <c r="F482" s="26"/>
      <c r="G482" s="28"/>
      <c r="H482" s="762"/>
      <c r="I482" s="763"/>
    </row>
    <row r="483" spans="1:27">
      <c r="A483" s="766"/>
      <c r="B483" s="506">
        <v>104035</v>
      </c>
      <c r="C483" s="507" t="s">
        <v>525</v>
      </c>
      <c r="D483" s="26"/>
      <c r="E483" s="26"/>
      <c r="F483" s="26"/>
      <c r="G483" s="28"/>
      <c r="H483" s="762"/>
      <c r="I483" s="763"/>
    </row>
    <row r="484" spans="1:27">
      <c r="A484" s="766"/>
      <c r="B484" s="506">
        <v>104036</v>
      </c>
      <c r="C484" s="507" t="s">
        <v>526</v>
      </c>
      <c r="D484" s="26"/>
      <c r="E484" s="26"/>
      <c r="F484" s="26"/>
      <c r="G484" s="28"/>
      <c r="H484" s="762"/>
      <c r="I484" s="763"/>
    </row>
    <row r="485" spans="1:27" s="680" customFormat="1">
      <c r="A485" s="767" t="s">
        <v>528</v>
      </c>
      <c r="B485" s="767"/>
      <c r="C485" s="767"/>
      <c r="D485" s="27">
        <f>SUM(D486+D494+D501)</f>
        <v>0</v>
      </c>
      <c r="E485" s="27">
        <f>SUM(E486+E494+E501)</f>
        <v>0</v>
      </c>
      <c r="F485" s="27">
        <f>SUM(F486+F494+F501)</f>
        <v>0</v>
      </c>
      <c r="G485" s="29">
        <v>0</v>
      </c>
      <c r="H485" s="762"/>
      <c r="I485" s="763"/>
      <c r="J485" s="678"/>
      <c r="K485" s="678"/>
      <c r="L485" s="678"/>
      <c r="M485" s="678"/>
      <c r="N485" s="678"/>
      <c r="O485" s="678"/>
      <c r="P485" s="679"/>
      <c r="Q485" s="679"/>
      <c r="R485" s="679"/>
      <c r="S485" s="679"/>
      <c r="T485" s="679"/>
      <c r="U485" s="679"/>
      <c r="V485" s="679"/>
      <c r="W485" s="679"/>
      <c r="X485" s="679"/>
      <c r="Y485" s="679"/>
      <c r="Z485" s="679"/>
      <c r="AA485" s="679"/>
    </row>
    <row r="486" spans="1:27" s="687" customFormat="1">
      <c r="A486" s="768" t="s">
        <v>530</v>
      </c>
      <c r="B486" s="768"/>
      <c r="C486" s="768"/>
      <c r="D486" s="32">
        <f>SUM(D487:D493)</f>
        <v>0</v>
      </c>
      <c r="E486" s="32">
        <f>SUM(E487:E493)</f>
        <v>0</v>
      </c>
      <c r="F486" s="32">
        <f>SUM(F487:F493)</f>
        <v>0</v>
      </c>
      <c r="G486" s="33">
        <v>0</v>
      </c>
      <c r="H486" s="762"/>
      <c r="I486" s="763"/>
      <c r="J486" s="678"/>
      <c r="K486" s="678"/>
      <c r="L486" s="678"/>
      <c r="M486" s="678"/>
      <c r="N486" s="678"/>
      <c r="O486" s="678"/>
      <c r="P486" s="679"/>
      <c r="Q486" s="679"/>
      <c r="R486" s="679"/>
      <c r="S486" s="679"/>
      <c r="T486" s="679"/>
      <c r="U486" s="679"/>
      <c r="V486" s="679"/>
      <c r="W486" s="679"/>
      <c r="X486" s="679"/>
      <c r="Y486" s="679"/>
      <c r="Z486" s="679"/>
      <c r="AA486" s="679"/>
    </row>
    <row r="487" spans="1:27">
      <c r="A487" s="766"/>
      <c r="B487" s="506">
        <v>107052</v>
      </c>
      <c r="C487" s="507" t="s">
        <v>518</v>
      </c>
      <c r="D487" s="26"/>
      <c r="E487" s="26"/>
      <c r="F487" s="26"/>
      <c r="G487" s="28"/>
      <c r="H487" s="762"/>
      <c r="I487" s="763"/>
    </row>
    <row r="488" spans="1:27">
      <c r="A488" s="766"/>
      <c r="B488" s="506">
        <v>107053</v>
      </c>
      <c r="C488" s="507" t="s">
        <v>519</v>
      </c>
      <c r="D488" s="26"/>
      <c r="E488" s="26"/>
      <c r="F488" s="26"/>
      <c r="G488" s="28"/>
      <c r="H488" s="762"/>
      <c r="I488" s="763"/>
    </row>
    <row r="489" spans="1:27">
      <c r="A489" s="766"/>
      <c r="B489" s="506">
        <v>107051</v>
      </c>
      <c r="C489" s="507" t="s">
        <v>194</v>
      </c>
      <c r="D489" s="26"/>
      <c r="E489" s="26"/>
      <c r="F489" s="26"/>
      <c r="G489" s="28"/>
      <c r="H489" s="762"/>
      <c r="I489" s="763"/>
    </row>
    <row r="490" spans="1:27">
      <c r="A490" s="766"/>
      <c r="B490" s="506">
        <v>102031</v>
      </c>
      <c r="C490" s="507" t="s">
        <v>520</v>
      </c>
      <c r="D490" s="26"/>
      <c r="E490" s="26"/>
      <c r="F490" s="26"/>
      <c r="G490" s="28"/>
      <c r="H490" s="762"/>
      <c r="I490" s="763"/>
    </row>
    <row r="491" spans="1:27">
      <c r="A491" s="766"/>
      <c r="B491" s="506">
        <v>107013</v>
      </c>
      <c r="C491" s="507" t="s">
        <v>532</v>
      </c>
      <c r="D491" s="26"/>
      <c r="E491" s="26"/>
      <c r="F491" s="26"/>
      <c r="G491" s="28"/>
      <c r="H491" s="762"/>
      <c r="I491" s="763"/>
    </row>
    <row r="492" spans="1:27">
      <c r="A492" s="766"/>
      <c r="B492" s="508" t="s">
        <v>510</v>
      </c>
      <c r="C492" s="507" t="s">
        <v>533</v>
      </c>
      <c r="D492" s="26"/>
      <c r="E492" s="26"/>
      <c r="F492" s="26"/>
      <c r="G492" s="28"/>
      <c r="H492" s="762"/>
      <c r="I492" s="763"/>
    </row>
    <row r="493" spans="1:27">
      <c r="A493" s="766"/>
      <c r="B493" s="508" t="s">
        <v>508</v>
      </c>
      <c r="C493" s="507" t="s">
        <v>516</v>
      </c>
      <c r="D493" s="26"/>
      <c r="E493" s="26"/>
      <c r="F493" s="26">
        <v>0</v>
      </c>
      <c r="G493" s="28"/>
      <c r="H493" s="762"/>
      <c r="I493" s="763"/>
    </row>
    <row r="494" spans="1:27" s="688" customFormat="1">
      <c r="A494" s="769" t="s">
        <v>529</v>
      </c>
      <c r="B494" s="769"/>
      <c r="C494" s="769"/>
      <c r="D494" s="36">
        <f>SUM(D496:D500)</f>
        <v>0</v>
      </c>
      <c r="E494" s="36">
        <f>SUM(E495:E500)</f>
        <v>0</v>
      </c>
      <c r="F494" s="36">
        <f>SUM(F495:F500)</f>
        <v>0</v>
      </c>
      <c r="G494" s="37">
        <v>0</v>
      </c>
      <c r="H494" s="762"/>
      <c r="I494" s="763"/>
      <c r="J494" s="678"/>
      <c r="K494" s="678"/>
      <c r="L494" s="678"/>
      <c r="M494" s="678"/>
      <c r="N494" s="678"/>
      <c r="O494" s="678"/>
      <c r="P494" s="679"/>
      <c r="Q494" s="679"/>
      <c r="R494" s="679"/>
      <c r="S494" s="679"/>
      <c r="T494" s="679"/>
      <c r="U494" s="679"/>
      <c r="V494" s="679"/>
      <c r="W494" s="679"/>
      <c r="X494" s="679"/>
      <c r="Y494" s="679"/>
      <c r="Z494" s="679"/>
      <c r="AA494" s="679"/>
    </row>
    <row r="495" spans="1:27">
      <c r="A495" s="766"/>
      <c r="B495" s="506">
        <v>104042</v>
      </c>
      <c r="C495" s="507" t="s">
        <v>522</v>
      </c>
      <c r="E495" s="26"/>
      <c r="F495" s="26"/>
      <c r="G495" s="28"/>
      <c r="H495" s="762"/>
      <c r="I495" s="763"/>
    </row>
    <row r="496" spans="1:27">
      <c r="A496" s="766"/>
      <c r="B496" s="506">
        <v>104043</v>
      </c>
      <c r="C496" s="507" t="s">
        <v>523</v>
      </c>
      <c r="D496" s="26"/>
      <c r="E496" s="26"/>
      <c r="F496" s="26"/>
      <c r="G496" s="28"/>
      <c r="H496" s="762"/>
      <c r="I496" s="763"/>
    </row>
    <row r="497" spans="1:27" ht="25.5">
      <c r="A497" s="766"/>
      <c r="B497" s="506">
        <v>104042</v>
      </c>
      <c r="C497" s="510" t="s">
        <v>1191</v>
      </c>
      <c r="D497" s="26"/>
      <c r="E497" s="26"/>
      <c r="F497" s="26"/>
      <c r="G497" s="28"/>
      <c r="H497" s="762"/>
      <c r="I497" s="763"/>
    </row>
    <row r="498" spans="1:27">
      <c r="A498" s="766"/>
      <c r="B498" s="506">
        <v>104043</v>
      </c>
      <c r="C498" s="507" t="s">
        <v>882</v>
      </c>
      <c r="D498" s="26"/>
      <c r="E498" s="26"/>
      <c r="F498" s="26"/>
      <c r="G498" s="28"/>
      <c r="H498" s="762"/>
      <c r="I498" s="763"/>
    </row>
    <row r="499" spans="1:27">
      <c r="A499" s="766"/>
      <c r="B499" s="508" t="s">
        <v>510</v>
      </c>
      <c r="C499" s="507" t="s">
        <v>533</v>
      </c>
      <c r="D499" s="26"/>
      <c r="E499" s="26"/>
      <c r="F499" s="26"/>
      <c r="G499" s="28"/>
      <c r="H499" s="762"/>
      <c r="I499" s="763"/>
    </row>
    <row r="500" spans="1:27">
      <c r="A500" s="766"/>
      <c r="B500" s="508" t="s">
        <v>508</v>
      </c>
      <c r="C500" s="507" t="s">
        <v>516</v>
      </c>
      <c r="D500" s="26"/>
      <c r="E500" s="26"/>
      <c r="F500" s="26"/>
      <c r="G500" s="28"/>
      <c r="H500" s="762"/>
      <c r="I500" s="763"/>
    </row>
    <row r="501" spans="1:27" s="689" customFormat="1">
      <c r="A501" s="770" t="s">
        <v>531</v>
      </c>
      <c r="B501" s="770"/>
      <c r="C501" s="770"/>
      <c r="D501" s="34">
        <f>SUM(D502:D507)</f>
        <v>0</v>
      </c>
      <c r="E501" s="34">
        <f>SUM(E502:E507)</f>
        <v>0</v>
      </c>
      <c r="F501" s="34">
        <f>SUM(F502:F507)</f>
        <v>0</v>
      </c>
      <c r="G501" s="35">
        <v>0</v>
      </c>
      <c r="H501" s="762"/>
      <c r="I501" s="763"/>
      <c r="J501" s="678"/>
      <c r="K501" s="678"/>
      <c r="L501" s="678"/>
      <c r="M501" s="678"/>
      <c r="N501" s="678"/>
      <c r="O501" s="678"/>
      <c r="P501" s="679"/>
      <c r="Q501" s="679"/>
      <c r="R501" s="679"/>
      <c r="S501" s="679"/>
      <c r="T501" s="679"/>
      <c r="U501" s="679"/>
      <c r="V501" s="679"/>
      <c r="W501" s="679"/>
      <c r="X501" s="679"/>
      <c r="Y501" s="679"/>
      <c r="Z501" s="679"/>
      <c r="AA501" s="679"/>
    </row>
    <row r="502" spans="1:27">
      <c r="A502" s="766"/>
      <c r="B502" s="506">
        <v>104031</v>
      </c>
      <c r="C502" s="507" t="s">
        <v>524</v>
      </c>
      <c r="D502" s="26"/>
      <c r="E502" s="26"/>
      <c r="F502" s="26"/>
      <c r="G502" s="28"/>
      <c r="H502" s="762"/>
      <c r="I502" s="763"/>
    </row>
    <row r="503" spans="1:27">
      <c r="A503" s="766"/>
      <c r="B503" s="506">
        <v>104035</v>
      </c>
      <c r="C503" s="507" t="s">
        <v>525</v>
      </c>
      <c r="D503" s="26"/>
      <c r="E503" s="26"/>
      <c r="F503" s="26"/>
      <c r="G503" s="28"/>
      <c r="H503" s="762"/>
      <c r="I503" s="763"/>
    </row>
    <row r="504" spans="1:27">
      <c r="A504" s="766"/>
      <c r="B504" s="506">
        <v>104036</v>
      </c>
      <c r="C504" s="507" t="s">
        <v>526</v>
      </c>
      <c r="D504" s="26"/>
      <c r="E504" s="26"/>
      <c r="F504" s="26"/>
      <c r="G504" s="28"/>
      <c r="H504" s="762"/>
      <c r="I504" s="763"/>
    </row>
    <row r="505" spans="1:27">
      <c r="A505" s="766"/>
      <c r="B505" s="506">
        <v>104037</v>
      </c>
      <c r="C505" s="507" t="s">
        <v>534</v>
      </c>
      <c r="D505" s="26"/>
      <c r="E505" s="26"/>
      <c r="F505" s="26"/>
      <c r="G505" s="28"/>
      <c r="H505" s="762"/>
      <c r="I505" s="763"/>
    </row>
    <row r="506" spans="1:27">
      <c r="A506" s="766"/>
      <c r="B506" s="508" t="s">
        <v>510</v>
      </c>
      <c r="C506" s="507" t="s">
        <v>533</v>
      </c>
      <c r="D506" s="26"/>
      <c r="E506" s="26"/>
      <c r="F506" s="26"/>
      <c r="G506" s="28"/>
      <c r="H506" s="762"/>
      <c r="I506" s="763"/>
    </row>
    <row r="507" spans="1:27">
      <c r="A507" s="766"/>
      <c r="B507" s="508" t="s">
        <v>508</v>
      </c>
      <c r="C507" s="507" t="s">
        <v>516</v>
      </c>
      <c r="D507" s="26"/>
      <c r="E507" s="26"/>
      <c r="F507" s="26"/>
      <c r="G507" s="28"/>
      <c r="H507" s="762"/>
      <c r="I507" s="763"/>
    </row>
  </sheetData>
  <mergeCells count="143">
    <mergeCell ref="A466:C466"/>
    <mergeCell ref="H466:I507"/>
    <mergeCell ref="A467:C467"/>
    <mergeCell ref="A468:C468"/>
    <mergeCell ref="A469:A484"/>
    <mergeCell ref="A485:C485"/>
    <mergeCell ref="A486:C486"/>
    <mergeCell ref="A487:A493"/>
    <mergeCell ref="A494:C494"/>
    <mergeCell ref="A495:A500"/>
    <mergeCell ref="A501:C501"/>
    <mergeCell ref="A502:A507"/>
    <mergeCell ref="A378:C378"/>
    <mergeCell ref="H378:I419"/>
    <mergeCell ref="A379:C379"/>
    <mergeCell ref="A380:C380"/>
    <mergeCell ref="A381:A396"/>
    <mergeCell ref="A397:C397"/>
    <mergeCell ref="A398:C398"/>
    <mergeCell ref="A399:A405"/>
    <mergeCell ref="A406:C406"/>
    <mergeCell ref="A407:A412"/>
    <mergeCell ref="A413:C413"/>
    <mergeCell ref="A414:A419"/>
    <mergeCell ref="A47:C47"/>
    <mergeCell ref="A12:A29"/>
    <mergeCell ref="A32:A39"/>
    <mergeCell ref="A48:A53"/>
    <mergeCell ref="A41:A46"/>
    <mergeCell ref="A30:C30"/>
    <mergeCell ref="A31:C31"/>
    <mergeCell ref="A40:C40"/>
    <mergeCell ref="A57:C57"/>
    <mergeCell ref="A56:C56"/>
    <mergeCell ref="A354:C354"/>
    <mergeCell ref="A355:A361"/>
    <mergeCell ref="A362:C362"/>
    <mergeCell ref="A363:A368"/>
    <mergeCell ref="A326:A331"/>
    <mergeCell ref="A318:C318"/>
    <mergeCell ref="A319:A324"/>
    <mergeCell ref="A325:C325"/>
    <mergeCell ref="A58:C58"/>
    <mergeCell ref="A59:A76"/>
    <mergeCell ref="A77:C77"/>
    <mergeCell ref="A78:C78"/>
    <mergeCell ref="A79:A86"/>
    <mergeCell ref="A197:C197"/>
    <mergeCell ref="A273:A278"/>
    <mergeCell ref="A279:C279"/>
    <mergeCell ref="A280:A285"/>
    <mergeCell ref="A240:I241"/>
    <mergeCell ref="A243:C243"/>
    <mergeCell ref="A244:C244"/>
    <mergeCell ref="A245:A262"/>
    <mergeCell ref="A263:C263"/>
    <mergeCell ref="A264:C264"/>
    <mergeCell ref="A265:A271"/>
    <mergeCell ref="H242:I285"/>
    <mergeCell ref="A101:I102"/>
    <mergeCell ref="A288:C288"/>
    <mergeCell ref="H288:I331"/>
    <mergeCell ref="A334:C334"/>
    <mergeCell ref="H334:I375"/>
    <mergeCell ref="A335:C335"/>
    <mergeCell ref="A336:C336"/>
    <mergeCell ref="A337:A352"/>
    <mergeCell ref="A353:C353"/>
    <mergeCell ref="A370:A375"/>
    <mergeCell ref="A369:C369"/>
    <mergeCell ref="A289:C289"/>
    <mergeCell ref="A290:C290"/>
    <mergeCell ref="A291:A308"/>
    <mergeCell ref="A309:C309"/>
    <mergeCell ref="A310:C310"/>
    <mergeCell ref="A311:A317"/>
    <mergeCell ref="A150:C150"/>
    <mergeCell ref="H150:I194"/>
    <mergeCell ref="A151:C151"/>
    <mergeCell ref="A152:C152"/>
    <mergeCell ref="A153:A170"/>
    <mergeCell ref="A171:C171"/>
    <mergeCell ref="A3:I3"/>
    <mergeCell ref="A2:I2"/>
    <mergeCell ref="A1:I1"/>
    <mergeCell ref="A10:C10"/>
    <mergeCell ref="A9:C9"/>
    <mergeCell ref="A11:C11"/>
    <mergeCell ref="D8:I8"/>
    <mergeCell ref="H6:I6"/>
    <mergeCell ref="F6:G6"/>
    <mergeCell ref="D7:E7"/>
    <mergeCell ref="A4:I5"/>
    <mergeCell ref="A6:A7"/>
    <mergeCell ref="B6:C6"/>
    <mergeCell ref="H197:I239"/>
    <mergeCell ref="A198:C198"/>
    <mergeCell ref="A199:C199"/>
    <mergeCell ref="A200:A216"/>
    <mergeCell ref="A217:C217"/>
    <mergeCell ref="A218:C218"/>
    <mergeCell ref="A87:C87"/>
    <mergeCell ref="A88:A93"/>
    <mergeCell ref="A94:C94"/>
    <mergeCell ref="A95:A100"/>
    <mergeCell ref="A103:C103"/>
    <mergeCell ref="H103:I147"/>
    <mergeCell ref="A104:C104"/>
    <mergeCell ref="A105:C105"/>
    <mergeCell ref="A106:A123"/>
    <mergeCell ref="A124:C124"/>
    <mergeCell ref="A125:C125"/>
    <mergeCell ref="A126:A133"/>
    <mergeCell ref="A134:C134"/>
    <mergeCell ref="A135:A140"/>
    <mergeCell ref="A141:C141"/>
    <mergeCell ref="A142:A147"/>
    <mergeCell ref="A148:I149"/>
    <mergeCell ref="A219:A225"/>
    <mergeCell ref="A226:C226"/>
    <mergeCell ref="A227:A232"/>
    <mergeCell ref="A233:C233"/>
    <mergeCell ref="A234:A239"/>
    <mergeCell ref="A242:C242"/>
    <mergeCell ref="A272:C272"/>
    <mergeCell ref="A172:C172"/>
    <mergeCell ref="A173:A180"/>
    <mergeCell ref="A181:C181"/>
    <mergeCell ref="A182:A187"/>
    <mergeCell ref="A188:C188"/>
    <mergeCell ref="A189:A194"/>
    <mergeCell ref="A422:C422"/>
    <mergeCell ref="H422:I463"/>
    <mergeCell ref="A423:C423"/>
    <mergeCell ref="A424:C424"/>
    <mergeCell ref="A425:A440"/>
    <mergeCell ref="A441:C441"/>
    <mergeCell ref="A442:C442"/>
    <mergeCell ref="A443:A449"/>
    <mergeCell ref="A450:C450"/>
    <mergeCell ref="A451:A456"/>
    <mergeCell ref="A457:C457"/>
    <mergeCell ref="A458:A463"/>
  </mergeCells>
  <phoneticPr fontId="15" type="noConversion"/>
  <pageMargins left="0.43307086614173229" right="0.19685039370078741" top="1.0236220472440944" bottom="0.78740157480314965" header="0.47244094488188981" footer="0.51181102362204722"/>
  <pageSetup paperSize="9" scale="62" orientation="portrait" r:id="rId1"/>
  <headerFooter alignWithMargins="0">
    <oddHeader>&amp;R3/b számú melléklet</oddHeader>
  </headerFooter>
  <rowBreaks count="10" manualBreakCount="10">
    <brk id="54" max="8" man="1"/>
    <brk id="101" max="8" man="1"/>
    <brk id="148" max="8" man="1"/>
    <brk id="195" max="8" man="1"/>
    <brk id="240" max="8" man="1"/>
    <brk id="286" max="8" man="1"/>
    <brk id="332" max="8" man="1"/>
    <brk id="376" max="8" man="1"/>
    <brk id="420" max="8" man="1"/>
    <brk id="464" max="8" man="1"/>
  </rowBreaks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8">
    <tabColor theme="4" tint="0.39997558519241921"/>
  </sheetPr>
  <dimension ref="A1:T440"/>
  <sheetViews>
    <sheetView zoomScaleNormal="100" workbookViewId="0">
      <pane ySplit="1" topLeftCell="A416" activePane="bottomLeft" state="frozen"/>
      <selection activeCell="A26" sqref="A26:B26"/>
      <selection pane="bottomLeft" activeCell="C444" sqref="C444"/>
    </sheetView>
  </sheetViews>
  <sheetFormatPr defaultColWidth="9.140625" defaultRowHeight="12.75"/>
  <cols>
    <col min="1" max="1" width="6.7109375" style="673" customWidth="1"/>
    <col min="2" max="2" width="9.28515625" style="699" bestFit="1" customWidth="1"/>
    <col min="3" max="3" width="71.7109375" style="673" customWidth="1"/>
    <col min="4" max="4" width="18.42578125" style="673" bestFit="1" customWidth="1"/>
    <col min="5" max="5" width="20" style="673" customWidth="1"/>
    <col min="6" max="6" width="18.7109375" style="673" customWidth="1"/>
    <col min="7" max="7" width="19.140625" style="673" customWidth="1"/>
    <col min="8" max="8" width="12.7109375" style="672" customWidth="1"/>
    <col min="9" max="9" width="9.140625" style="672"/>
    <col min="10" max="10" width="14.140625" style="671" customWidth="1"/>
    <col min="11" max="11" width="12.5703125" style="671" customWidth="1"/>
    <col min="12" max="20" width="9.140625" style="672"/>
    <col min="21" max="16384" width="9.140625" style="673"/>
  </cols>
  <sheetData>
    <row r="1" spans="1:20">
      <c r="A1" s="774" t="s">
        <v>1163</v>
      </c>
      <c r="B1" s="774"/>
      <c r="C1" s="774"/>
      <c r="D1" s="774"/>
      <c r="E1" s="774"/>
      <c r="F1" s="774"/>
      <c r="G1" s="774"/>
    </row>
    <row r="2" spans="1:20">
      <c r="A2" s="774" t="s">
        <v>19</v>
      </c>
      <c r="B2" s="774"/>
      <c r="C2" s="774"/>
      <c r="D2" s="774"/>
      <c r="E2" s="774"/>
      <c r="F2" s="774"/>
      <c r="G2" s="774"/>
    </row>
    <row r="3" spans="1:20">
      <c r="A3" s="774" t="s">
        <v>1165</v>
      </c>
      <c r="B3" s="774"/>
      <c r="C3" s="774"/>
      <c r="D3" s="774"/>
      <c r="E3" s="774"/>
      <c r="F3" s="774"/>
      <c r="G3" s="774"/>
    </row>
    <row r="4" spans="1:20">
      <c r="A4" s="773"/>
      <c r="B4" s="773"/>
      <c r="C4" s="773"/>
      <c r="D4" s="773"/>
      <c r="E4" s="773"/>
      <c r="F4" s="773"/>
      <c r="G4" s="773"/>
    </row>
    <row r="5" spans="1:20">
      <c r="A5" s="778"/>
      <c r="B5" s="778"/>
      <c r="C5" s="778"/>
      <c r="D5" s="778"/>
      <c r="E5" s="778"/>
      <c r="F5" s="778"/>
      <c r="G5" s="778"/>
    </row>
    <row r="6" spans="1:20" s="676" customFormat="1" ht="18.75" customHeight="1">
      <c r="A6" s="779" t="s">
        <v>81</v>
      </c>
      <c r="B6" s="780" t="s">
        <v>505</v>
      </c>
      <c r="C6" s="780"/>
      <c r="D6" s="637" t="s">
        <v>171</v>
      </c>
      <c r="E6" s="637" t="s">
        <v>135</v>
      </c>
      <c r="F6" s="777" t="s">
        <v>138</v>
      </c>
      <c r="G6" s="777"/>
      <c r="H6" s="675"/>
      <c r="I6" s="675"/>
      <c r="J6" s="674"/>
      <c r="K6" s="674"/>
      <c r="L6" s="675"/>
      <c r="M6" s="675"/>
      <c r="N6" s="675"/>
      <c r="O6" s="675"/>
      <c r="P6" s="675"/>
      <c r="Q6" s="675"/>
      <c r="R6" s="675"/>
      <c r="S6" s="675"/>
      <c r="T6" s="675"/>
    </row>
    <row r="7" spans="1:20" s="680" customFormat="1">
      <c r="A7" s="780"/>
      <c r="B7" s="677" t="s">
        <v>504</v>
      </c>
      <c r="C7" s="677" t="s">
        <v>134</v>
      </c>
      <c r="D7" s="777" t="s">
        <v>136</v>
      </c>
      <c r="E7" s="777"/>
      <c r="F7" s="637" t="s">
        <v>137</v>
      </c>
      <c r="G7" s="178" t="s">
        <v>189</v>
      </c>
      <c r="H7" s="679"/>
      <c r="I7" s="679"/>
      <c r="J7" s="678"/>
      <c r="K7" s="678"/>
      <c r="L7" s="679"/>
      <c r="M7" s="679"/>
      <c r="N7" s="679"/>
      <c r="O7" s="679"/>
      <c r="P7" s="679"/>
      <c r="Q7" s="679"/>
      <c r="R7" s="679"/>
      <c r="S7" s="679"/>
      <c r="T7" s="679"/>
    </row>
    <row r="8" spans="1:20" ht="17.25" customHeight="1">
      <c r="A8" s="700"/>
      <c r="B8" s="682"/>
      <c r="C8" s="681"/>
      <c r="D8" s="775"/>
      <c r="E8" s="775"/>
      <c r="F8" s="775"/>
      <c r="G8" s="790"/>
    </row>
    <row r="9" spans="1:20" s="685" customFormat="1" ht="15.75">
      <c r="A9" s="761" t="s">
        <v>210</v>
      </c>
      <c r="B9" s="761"/>
      <c r="C9" s="761"/>
      <c r="D9" s="38">
        <f>SUM(D11+D34)</f>
        <v>1058689177</v>
      </c>
      <c r="E9" s="38">
        <f>SUM(E11+E34)</f>
        <v>1107759095</v>
      </c>
      <c r="F9" s="38">
        <f>SUM(F11+F34)</f>
        <v>1107759095</v>
      </c>
      <c r="G9" s="39">
        <f>ROUND(F9/E9*100,2)</f>
        <v>100</v>
      </c>
      <c r="H9" s="701"/>
      <c r="I9" s="684"/>
      <c r="J9" s="683"/>
      <c r="K9" s="683"/>
      <c r="L9" s="684"/>
      <c r="M9" s="684"/>
      <c r="N9" s="684"/>
      <c r="O9" s="684"/>
      <c r="P9" s="684"/>
      <c r="Q9" s="684"/>
      <c r="R9" s="684"/>
      <c r="S9" s="684"/>
      <c r="T9" s="684"/>
    </row>
    <row r="10" spans="1:20" s="680" customFormat="1">
      <c r="A10" s="764" t="s">
        <v>1</v>
      </c>
      <c r="B10" s="764"/>
      <c r="C10" s="764"/>
      <c r="D10" s="27">
        <f>SUM(D11)</f>
        <v>473006849</v>
      </c>
      <c r="E10" s="27">
        <f>SUM(E11)</f>
        <v>503017029</v>
      </c>
      <c r="F10" s="27">
        <f>SUM(F11)</f>
        <v>503017029</v>
      </c>
      <c r="G10" s="29">
        <f t="shared" ref="G10:G57" si="0">ROUND(F10/E10*100,2)</f>
        <v>100</v>
      </c>
      <c r="H10" s="679"/>
      <c r="I10" s="679"/>
      <c r="J10" s="678"/>
      <c r="K10" s="678"/>
      <c r="L10" s="679"/>
      <c r="M10" s="679"/>
      <c r="N10" s="679"/>
      <c r="O10" s="679"/>
      <c r="P10" s="679"/>
      <c r="Q10" s="679"/>
      <c r="R10" s="679"/>
      <c r="S10" s="679"/>
      <c r="T10" s="679"/>
    </row>
    <row r="11" spans="1:20" s="686" customFormat="1">
      <c r="A11" s="765" t="s">
        <v>527</v>
      </c>
      <c r="B11" s="765"/>
      <c r="C11" s="765"/>
      <c r="D11" s="30">
        <f>SUM(D12:D33)</f>
        <v>473006849</v>
      </c>
      <c r="E11" s="30">
        <f>SUM(E12:E33)</f>
        <v>503017029</v>
      </c>
      <c r="F11" s="30">
        <f>SUM(F12:F33)</f>
        <v>503017029</v>
      </c>
      <c r="G11" s="31">
        <f t="shared" si="0"/>
        <v>100</v>
      </c>
      <c r="H11" s="679"/>
      <c r="I11" s="679"/>
      <c r="J11" s="678"/>
      <c r="K11" s="678"/>
      <c r="L11" s="679"/>
      <c r="M11" s="679"/>
      <c r="N11" s="679"/>
      <c r="O11" s="679"/>
      <c r="P11" s="679"/>
      <c r="Q11" s="679"/>
      <c r="R11" s="679"/>
      <c r="S11" s="679"/>
      <c r="T11" s="679"/>
    </row>
    <row r="12" spans="1:20">
      <c r="A12" s="771"/>
      <c r="B12" s="508" t="s">
        <v>506</v>
      </c>
      <c r="C12" s="507" t="s">
        <v>512</v>
      </c>
      <c r="D12" s="466">
        <f t="shared" ref="D12:F13" si="1">SUM(D63+D157+D207+D255++D353+D401+D109+D304)</f>
        <v>2000</v>
      </c>
      <c r="E12" s="466">
        <f t="shared" si="1"/>
        <v>3687</v>
      </c>
      <c r="F12" s="466">
        <f t="shared" si="1"/>
        <v>3687</v>
      </c>
      <c r="G12" s="28">
        <f t="shared" si="0"/>
        <v>100</v>
      </c>
    </row>
    <row r="13" spans="1:20">
      <c r="A13" s="772"/>
      <c r="B13" s="508" t="s">
        <v>507</v>
      </c>
      <c r="C13" s="507" t="s">
        <v>517</v>
      </c>
      <c r="D13" s="466">
        <f t="shared" si="1"/>
        <v>0</v>
      </c>
      <c r="E13" s="466">
        <f t="shared" si="1"/>
        <v>0</v>
      </c>
      <c r="F13" s="466">
        <f t="shared" si="1"/>
        <v>0</v>
      </c>
      <c r="G13" s="28">
        <v>0</v>
      </c>
    </row>
    <row r="14" spans="1:20" s="693" customFormat="1">
      <c r="A14" s="772"/>
      <c r="B14" s="509" t="s">
        <v>508</v>
      </c>
      <c r="C14" s="510" t="s">
        <v>1191</v>
      </c>
      <c r="D14" s="466">
        <f>SUM(D159+D209+D260+D359+D403+D111+D309)</f>
        <v>29873016</v>
      </c>
      <c r="E14" s="466">
        <f>SUM(E159+E209+E260+E359+E403+E111+E309)</f>
        <v>29873016</v>
      </c>
      <c r="F14" s="466">
        <f>SUM(F159+F209+F260+F359+F403+F111+F309)</f>
        <v>29873016</v>
      </c>
      <c r="G14" s="28">
        <f t="shared" si="0"/>
        <v>100</v>
      </c>
      <c r="H14" s="692"/>
      <c r="I14" s="692"/>
      <c r="J14" s="691"/>
      <c r="K14" s="691"/>
      <c r="L14" s="692"/>
      <c r="M14" s="692"/>
      <c r="N14" s="692"/>
      <c r="O14" s="692"/>
      <c r="P14" s="692"/>
      <c r="Q14" s="692"/>
      <c r="R14" s="692"/>
      <c r="S14" s="692"/>
      <c r="T14" s="692"/>
    </row>
    <row r="15" spans="1:20" s="693" customFormat="1">
      <c r="A15" s="772"/>
      <c r="B15" s="509" t="s">
        <v>884</v>
      </c>
      <c r="C15" s="510" t="s">
        <v>1191</v>
      </c>
      <c r="D15" s="466">
        <f>SUM(D66+D160+D210+D258++D356+D404+D112+D307)</f>
        <v>0</v>
      </c>
      <c r="E15" s="466">
        <f>SUM(E66+E160+E210+E258++E356+E404+E112+E307)</f>
        <v>0</v>
      </c>
      <c r="F15" s="466">
        <f>SUM(F66+F160+F210+F258++F356+F404+F112+F307)</f>
        <v>0</v>
      </c>
      <c r="G15" s="28"/>
      <c r="H15" s="692"/>
      <c r="I15" s="692"/>
      <c r="J15" s="691"/>
      <c r="K15" s="691"/>
      <c r="L15" s="692"/>
      <c r="M15" s="692"/>
      <c r="N15" s="692"/>
      <c r="O15" s="692"/>
      <c r="P15" s="692"/>
      <c r="Q15" s="692"/>
      <c r="R15" s="692"/>
      <c r="S15" s="692"/>
      <c r="T15" s="692"/>
    </row>
    <row r="16" spans="1:20" s="693" customFormat="1">
      <c r="A16" s="772"/>
      <c r="B16" s="509" t="s">
        <v>508</v>
      </c>
      <c r="C16" s="510" t="s">
        <v>962</v>
      </c>
      <c r="D16" s="702">
        <f>SUM(D211+D261+D360+D310)</f>
        <v>405251</v>
      </c>
      <c r="E16" s="702">
        <f t="shared" ref="E16" si="2">SUM(E211+E261+E360+E310)</f>
        <v>405251</v>
      </c>
      <c r="F16" s="702">
        <f>SUM(F211+F261+F360+F310)</f>
        <v>405251</v>
      </c>
      <c r="G16" s="28">
        <f t="shared" si="0"/>
        <v>100</v>
      </c>
      <c r="H16" s="692"/>
      <c r="I16" s="692"/>
      <c r="J16" s="691"/>
      <c r="K16" s="691"/>
      <c r="L16" s="692"/>
      <c r="M16" s="692"/>
      <c r="N16" s="692"/>
      <c r="O16" s="692"/>
      <c r="P16" s="692"/>
      <c r="Q16" s="692"/>
      <c r="R16" s="692"/>
      <c r="S16" s="692"/>
      <c r="T16" s="692"/>
    </row>
    <row r="17" spans="1:7">
      <c r="A17" s="772"/>
      <c r="B17" s="508" t="s">
        <v>513</v>
      </c>
      <c r="C17" s="507" t="s">
        <v>514</v>
      </c>
      <c r="D17" s="466">
        <f>SUM(D66+D161+D212+D258++D356+D404+D113+D307)</f>
        <v>0</v>
      </c>
      <c r="E17" s="466">
        <f>SUM(E66+E161+E212+E258++E356+E404+E113+E307)</f>
        <v>0</v>
      </c>
      <c r="F17" s="466">
        <f>SUM(F66+F161+F212+F258++F356+F404+F113+F307)</f>
        <v>0</v>
      </c>
      <c r="G17" s="28">
        <v>0</v>
      </c>
    </row>
    <row r="18" spans="1:7">
      <c r="A18" s="772"/>
      <c r="B18" s="508" t="s">
        <v>508</v>
      </c>
      <c r="C18" s="507" t="s">
        <v>516</v>
      </c>
      <c r="D18" s="466">
        <f>SUM(D67+D162+D213+D259++D357+D407+D114+D308)</f>
        <v>442632584</v>
      </c>
      <c r="E18" s="466">
        <f>SUM(E67+E162+E213+E259++E357+E407+E114+E308)</f>
        <v>472641076</v>
      </c>
      <c r="F18" s="466">
        <f>SUM(F67+F162+F213+F259++F357+F407+F114+F308)</f>
        <v>472641076</v>
      </c>
      <c r="G18" s="28">
        <f t="shared" si="0"/>
        <v>100</v>
      </c>
    </row>
    <row r="19" spans="1:7">
      <c r="A19" s="772"/>
      <c r="B19" s="508" t="s">
        <v>508</v>
      </c>
      <c r="C19" s="507" t="s">
        <v>874</v>
      </c>
      <c r="D19" s="466">
        <f>SUM(D170+D214+D262++D358+D405+D311)</f>
        <v>93998</v>
      </c>
      <c r="E19" s="466">
        <f>SUM(E170+E214+E262++E358+E405+E311)</f>
        <v>93998</v>
      </c>
      <c r="F19" s="466">
        <f>SUM(F170+F214+F262++F358+F405+F311)</f>
        <v>93998</v>
      </c>
      <c r="G19" s="28">
        <f t="shared" si="0"/>
        <v>100</v>
      </c>
    </row>
    <row r="20" spans="1:7">
      <c r="A20" s="772"/>
      <c r="B20" s="508" t="s">
        <v>848</v>
      </c>
      <c r="C20" s="507" t="s">
        <v>874</v>
      </c>
      <c r="D20" s="466">
        <f>SUM(D76)</f>
        <v>0</v>
      </c>
      <c r="E20" s="466">
        <f t="shared" ref="E20:F20" si="3">SUM(E76)</f>
        <v>1</v>
      </c>
      <c r="F20" s="466">
        <f t="shared" si="3"/>
        <v>1</v>
      </c>
      <c r="G20" s="28">
        <f t="shared" si="0"/>
        <v>100</v>
      </c>
    </row>
    <row r="21" spans="1:7">
      <c r="A21" s="772"/>
      <c r="B21" s="508" t="s">
        <v>509</v>
      </c>
      <c r="C21" s="507" t="s">
        <v>511</v>
      </c>
      <c r="D21" s="466"/>
      <c r="E21" s="466"/>
      <c r="F21" s="466"/>
      <c r="G21" s="28"/>
    </row>
    <row r="22" spans="1:7">
      <c r="A22" s="772"/>
      <c r="B22" s="506">
        <v>107052</v>
      </c>
      <c r="C22" s="507" t="s">
        <v>518</v>
      </c>
      <c r="D22" s="466"/>
      <c r="E22" s="466"/>
      <c r="F22" s="466"/>
      <c r="G22" s="28"/>
    </row>
    <row r="23" spans="1:7">
      <c r="A23" s="772"/>
      <c r="B23" s="506">
        <v>107051</v>
      </c>
      <c r="C23" s="507" t="s">
        <v>194</v>
      </c>
      <c r="D23" s="466"/>
      <c r="E23" s="466"/>
      <c r="F23" s="466"/>
      <c r="G23" s="28"/>
    </row>
    <row r="24" spans="1:7">
      <c r="A24" s="772"/>
      <c r="B24" s="506">
        <v>107053</v>
      </c>
      <c r="C24" s="507" t="s">
        <v>519</v>
      </c>
      <c r="D24" s="466"/>
      <c r="E24" s="466"/>
      <c r="F24" s="466"/>
      <c r="G24" s="28"/>
    </row>
    <row r="25" spans="1:7">
      <c r="A25" s="772"/>
      <c r="B25" s="506">
        <v>102031</v>
      </c>
      <c r="C25" s="507" t="s">
        <v>520</v>
      </c>
      <c r="D25" s="466"/>
      <c r="E25" s="466"/>
      <c r="F25" s="466"/>
      <c r="G25" s="28"/>
    </row>
    <row r="26" spans="1:7">
      <c r="A26" s="772"/>
      <c r="B26" s="506">
        <v>107013</v>
      </c>
      <c r="C26" s="507" t="s">
        <v>521</v>
      </c>
      <c r="D26" s="466"/>
      <c r="E26" s="466"/>
      <c r="F26" s="466"/>
      <c r="G26" s="28"/>
    </row>
    <row r="27" spans="1:7">
      <c r="A27" s="772"/>
      <c r="B27" s="506">
        <v>104042</v>
      </c>
      <c r="C27" s="507" t="s">
        <v>522</v>
      </c>
      <c r="D27" s="466"/>
      <c r="E27" s="26"/>
      <c r="F27" s="466"/>
      <c r="G27" s="28"/>
    </row>
    <row r="28" spans="1:7">
      <c r="A28" s="772"/>
      <c r="B28" s="506">
        <v>104042</v>
      </c>
      <c r="C28" s="507" t="s">
        <v>874</v>
      </c>
      <c r="D28" s="466"/>
      <c r="E28" s="26"/>
      <c r="F28" s="26"/>
      <c r="G28" s="28"/>
    </row>
    <row r="29" spans="1:7">
      <c r="A29" s="772"/>
      <c r="B29" s="506">
        <v>104043</v>
      </c>
      <c r="C29" s="507" t="s">
        <v>523</v>
      </c>
      <c r="D29" s="466"/>
      <c r="E29" s="26"/>
      <c r="F29" s="26"/>
      <c r="G29" s="28"/>
    </row>
    <row r="30" spans="1:7">
      <c r="A30" s="772"/>
      <c r="B30" s="506">
        <v>104031</v>
      </c>
      <c r="C30" s="507" t="s">
        <v>524</v>
      </c>
      <c r="D30" s="466"/>
      <c r="E30" s="26"/>
      <c r="F30" s="26"/>
      <c r="G30" s="28"/>
    </row>
    <row r="31" spans="1:7">
      <c r="A31" s="772"/>
      <c r="B31" s="506">
        <v>104035</v>
      </c>
      <c r="C31" s="507" t="s">
        <v>525</v>
      </c>
      <c r="D31" s="466"/>
      <c r="E31" s="26"/>
      <c r="F31" s="26"/>
      <c r="G31" s="28"/>
    </row>
    <row r="32" spans="1:7">
      <c r="A32" s="772"/>
      <c r="B32" s="506">
        <v>104037</v>
      </c>
      <c r="C32" s="507" t="s">
        <v>535</v>
      </c>
      <c r="D32" s="466"/>
      <c r="E32" s="26"/>
      <c r="F32" s="26"/>
      <c r="G32" s="28"/>
    </row>
    <row r="33" spans="1:20">
      <c r="A33" s="781"/>
      <c r="B33" s="506">
        <v>104036</v>
      </c>
      <c r="C33" s="507" t="s">
        <v>526</v>
      </c>
      <c r="D33" s="466"/>
      <c r="E33" s="26"/>
      <c r="F33" s="26"/>
      <c r="G33" s="28"/>
    </row>
    <row r="34" spans="1:20" s="680" customFormat="1">
      <c r="A34" s="767" t="s">
        <v>528</v>
      </c>
      <c r="B34" s="767"/>
      <c r="C34" s="767"/>
      <c r="D34" s="27">
        <f>SUM(D35+D44+D51)</f>
        <v>585682328</v>
      </c>
      <c r="E34" s="27">
        <f>SUM(E35+E44+E51)</f>
        <v>604742066</v>
      </c>
      <c r="F34" s="27">
        <f>SUM(F35+F44+F51)</f>
        <v>604742066</v>
      </c>
      <c r="G34" s="29">
        <f t="shared" si="0"/>
        <v>100</v>
      </c>
      <c r="H34" s="679"/>
      <c r="I34" s="679"/>
      <c r="J34" s="678"/>
      <c r="K34" s="678"/>
      <c r="L34" s="679"/>
      <c r="M34" s="679"/>
      <c r="N34" s="679"/>
      <c r="O34" s="679"/>
      <c r="P34" s="679"/>
      <c r="Q34" s="679"/>
      <c r="R34" s="679"/>
      <c r="S34" s="679"/>
      <c r="T34" s="679"/>
    </row>
    <row r="35" spans="1:20" s="687" customFormat="1">
      <c r="A35" s="768" t="s">
        <v>530</v>
      </c>
      <c r="B35" s="768"/>
      <c r="C35" s="768"/>
      <c r="D35" s="32">
        <f>SUM(D36:D43)</f>
        <v>295036017</v>
      </c>
      <c r="E35" s="32">
        <f>SUM(E36:E43)</f>
        <v>286859444</v>
      </c>
      <c r="F35" s="32">
        <f>SUM(F36:F43)</f>
        <v>286859444</v>
      </c>
      <c r="G35" s="33">
        <f t="shared" si="0"/>
        <v>100</v>
      </c>
      <c r="H35" s="679"/>
      <c r="I35" s="679"/>
      <c r="J35" s="678"/>
      <c r="K35" s="678"/>
      <c r="L35" s="679"/>
      <c r="M35" s="679"/>
      <c r="N35" s="679"/>
      <c r="O35" s="679"/>
      <c r="P35" s="679"/>
      <c r="Q35" s="679"/>
      <c r="R35" s="679"/>
      <c r="S35" s="679"/>
      <c r="T35" s="679"/>
    </row>
    <row r="36" spans="1:20">
      <c r="A36" s="771"/>
      <c r="B36" s="506">
        <v>107052</v>
      </c>
      <c r="C36" s="507" t="s">
        <v>518</v>
      </c>
      <c r="D36" s="26">
        <f t="shared" ref="D36:F43" si="4">SUM(D83+D130+D178+D228+D277+D326+D374+D419)</f>
        <v>16151500</v>
      </c>
      <c r="E36" s="26">
        <f t="shared" si="4"/>
        <v>16426250</v>
      </c>
      <c r="F36" s="26">
        <f t="shared" si="4"/>
        <v>16426250</v>
      </c>
      <c r="G36" s="28">
        <f t="shared" si="0"/>
        <v>100</v>
      </c>
    </row>
    <row r="37" spans="1:20">
      <c r="A37" s="772"/>
      <c r="B37" s="506">
        <v>107053</v>
      </c>
      <c r="C37" s="507" t="s">
        <v>519</v>
      </c>
      <c r="D37" s="26">
        <f t="shared" si="4"/>
        <v>2363440</v>
      </c>
      <c r="E37" s="26">
        <f t="shared" si="4"/>
        <v>2507630</v>
      </c>
      <c r="F37" s="26">
        <f t="shared" si="4"/>
        <v>2507630</v>
      </c>
      <c r="G37" s="28">
        <f t="shared" si="0"/>
        <v>100</v>
      </c>
    </row>
    <row r="38" spans="1:20">
      <c r="A38" s="772"/>
      <c r="B38" s="506">
        <v>107051</v>
      </c>
      <c r="C38" s="507" t="s">
        <v>194</v>
      </c>
      <c r="D38" s="26">
        <f t="shared" si="4"/>
        <v>7722000</v>
      </c>
      <c r="E38" s="26">
        <f t="shared" si="4"/>
        <v>8297730</v>
      </c>
      <c r="F38" s="26">
        <f t="shared" si="4"/>
        <v>8297730</v>
      </c>
      <c r="G38" s="28">
        <f t="shared" si="0"/>
        <v>100</v>
      </c>
    </row>
    <row r="39" spans="1:20">
      <c r="A39" s="772"/>
      <c r="B39" s="506">
        <v>102031</v>
      </c>
      <c r="C39" s="507" t="s">
        <v>520</v>
      </c>
      <c r="D39" s="26">
        <f t="shared" si="4"/>
        <v>530000</v>
      </c>
      <c r="E39" s="26">
        <f t="shared" si="4"/>
        <v>632825</v>
      </c>
      <c r="F39" s="26">
        <f t="shared" si="4"/>
        <v>632825</v>
      </c>
      <c r="G39" s="28">
        <f t="shared" si="0"/>
        <v>100</v>
      </c>
    </row>
    <row r="40" spans="1:20">
      <c r="A40" s="772"/>
      <c r="B40" s="506">
        <v>102032</v>
      </c>
      <c r="C40" s="507" t="s">
        <v>883</v>
      </c>
      <c r="D40" s="26">
        <f t="shared" si="4"/>
        <v>740000</v>
      </c>
      <c r="E40" s="26">
        <f t="shared" si="4"/>
        <v>685940</v>
      </c>
      <c r="F40" s="26">
        <f t="shared" si="4"/>
        <v>685940</v>
      </c>
      <c r="G40" s="28">
        <f t="shared" si="0"/>
        <v>100</v>
      </c>
    </row>
    <row r="41" spans="1:20">
      <c r="A41" s="772"/>
      <c r="B41" s="506">
        <v>107013</v>
      </c>
      <c r="C41" s="507" t="s">
        <v>532</v>
      </c>
      <c r="D41" s="26">
        <f t="shared" si="4"/>
        <v>2800000</v>
      </c>
      <c r="E41" s="26">
        <f t="shared" si="4"/>
        <v>2809120</v>
      </c>
      <c r="F41" s="26">
        <f t="shared" si="4"/>
        <v>2809120</v>
      </c>
      <c r="G41" s="28">
        <f t="shared" si="0"/>
        <v>100</v>
      </c>
    </row>
    <row r="42" spans="1:20">
      <c r="A42" s="772"/>
      <c r="B42" s="508" t="s">
        <v>510</v>
      </c>
      <c r="C42" s="507" t="s">
        <v>533</v>
      </c>
      <c r="D42" s="26">
        <f t="shared" si="4"/>
        <v>0</v>
      </c>
      <c r="E42" s="26">
        <f t="shared" si="4"/>
        <v>0</v>
      </c>
      <c r="F42" s="26">
        <f t="shared" si="4"/>
        <v>0</v>
      </c>
      <c r="G42" s="28">
        <v>0</v>
      </c>
    </row>
    <row r="43" spans="1:20">
      <c r="A43" s="781"/>
      <c r="B43" s="508" t="s">
        <v>508</v>
      </c>
      <c r="C43" s="507" t="s">
        <v>516</v>
      </c>
      <c r="D43" s="26">
        <f t="shared" si="4"/>
        <v>264729077</v>
      </c>
      <c r="E43" s="26">
        <f t="shared" si="4"/>
        <v>255499949</v>
      </c>
      <c r="F43" s="26">
        <f t="shared" si="4"/>
        <v>255499949</v>
      </c>
      <c r="G43" s="28">
        <f t="shared" si="0"/>
        <v>100</v>
      </c>
    </row>
    <row r="44" spans="1:20" s="688" customFormat="1">
      <c r="A44" s="769" t="s">
        <v>529</v>
      </c>
      <c r="B44" s="769"/>
      <c r="C44" s="769"/>
      <c r="D44" s="36">
        <f>SUM(D45:D50)</f>
        <v>186985333</v>
      </c>
      <c r="E44" s="36">
        <f>SUM(E45:E50)</f>
        <v>201442262</v>
      </c>
      <c r="F44" s="36">
        <f>SUM(F45:F50)</f>
        <v>201442262</v>
      </c>
      <c r="G44" s="37">
        <f t="shared" si="0"/>
        <v>100</v>
      </c>
      <c r="H44" s="679"/>
      <c r="I44" s="679"/>
      <c r="J44" s="678"/>
      <c r="K44" s="678"/>
      <c r="L44" s="679"/>
      <c r="M44" s="679"/>
      <c r="N44" s="679"/>
      <c r="O44" s="679"/>
      <c r="P44" s="679"/>
      <c r="Q44" s="679"/>
      <c r="R44" s="679"/>
      <c r="S44" s="679"/>
      <c r="T44" s="679"/>
    </row>
    <row r="45" spans="1:20">
      <c r="A45" s="771"/>
      <c r="B45" s="506">
        <v>104042</v>
      </c>
      <c r="C45" s="507" t="s">
        <v>522</v>
      </c>
      <c r="D45" s="26">
        <f>SUM(D92+D139+D187+D237+D286+D335+D428+D383)</f>
        <v>11250</v>
      </c>
      <c r="E45" s="26">
        <f t="shared" ref="E45:F45" si="5">SUM(E92+E139+E187+E237+E286+E335+E428+E383)</f>
        <v>13285</v>
      </c>
      <c r="F45" s="26">
        <f t="shared" si="5"/>
        <v>13285</v>
      </c>
      <c r="G45" s="28">
        <f t="shared" si="0"/>
        <v>100</v>
      </c>
    </row>
    <row r="46" spans="1:20">
      <c r="A46" s="772"/>
      <c r="B46" s="506">
        <v>104043</v>
      </c>
      <c r="C46" s="507" t="s">
        <v>523</v>
      </c>
      <c r="D46" s="26">
        <f t="shared" ref="D46:F50" si="6">SUM(D93+D140+D188+D238+D287+D336+D429+D384)</f>
        <v>250</v>
      </c>
      <c r="E46" s="26">
        <f t="shared" si="6"/>
        <v>781</v>
      </c>
      <c r="F46" s="26">
        <f t="shared" si="6"/>
        <v>781</v>
      </c>
      <c r="G46" s="28">
        <f t="shared" si="0"/>
        <v>100</v>
      </c>
    </row>
    <row r="47" spans="1:20">
      <c r="A47" s="772"/>
      <c r="B47" s="508" t="s">
        <v>508</v>
      </c>
      <c r="C47" s="510" t="s">
        <v>1191</v>
      </c>
      <c r="D47" s="26">
        <f t="shared" si="6"/>
        <v>2039654</v>
      </c>
      <c r="E47" s="26">
        <f t="shared" si="6"/>
        <v>5178911</v>
      </c>
      <c r="F47" s="26">
        <f t="shared" si="6"/>
        <v>5178911</v>
      </c>
      <c r="G47" s="28">
        <f t="shared" si="0"/>
        <v>100</v>
      </c>
    </row>
    <row r="48" spans="1:20">
      <c r="A48" s="772"/>
      <c r="B48" s="508" t="s">
        <v>848</v>
      </c>
      <c r="C48" s="510" t="s">
        <v>1191</v>
      </c>
      <c r="D48" s="26">
        <f t="shared" si="6"/>
        <v>0</v>
      </c>
      <c r="E48" s="26">
        <f t="shared" si="6"/>
        <v>0</v>
      </c>
      <c r="F48" s="26">
        <f t="shared" si="6"/>
        <v>0</v>
      </c>
      <c r="G48" s="28">
        <v>0</v>
      </c>
    </row>
    <row r="49" spans="1:20">
      <c r="A49" s="772"/>
      <c r="B49" s="508" t="s">
        <v>510</v>
      </c>
      <c r="C49" s="507" t="s">
        <v>533</v>
      </c>
      <c r="D49" s="26">
        <f t="shared" si="6"/>
        <v>0</v>
      </c>
      <c r="E49" s="26">
        <f t="shared" si="6"/>
        <v>0</v>
      </c>
      <c r="F49" s="26">
        <f t="shared" si="6"/>
        <v>0</v>
      </c>
      <c r="G49" s="28">
        <v>0</v>
      </c>
    </row>
    <row r="50" spans="1:20">
      <c r="A50" s="781"/>
      <c r="B50" s="508" t="s">
        <v>508</v>
      </c>
      <c r="C50" s="507" t="s">
        <v>516</v>
      </c>
      <c r="D50" s="26">
        <f t="shared" si="6"/>
        <v>184934179</v>
      </c>
      <c r="E50" s="26">
        <f t="shared" si="6"/>
        <v>196249285</v>
      </c>
      <c r="F50" s="26">
        <f t="shared" si="6"/>
        <v>196249285</v>
      </c>
      <c r="G50" s="28">
        <f t="shared" si="0"/>
        <v>100</v>
      </c>
    </row>
    <row r="51" spans="1:20" s="689" customFormat="1">
      <c r="A51" s="770" t="s">
        <v>531</v>
      </c>
      <c r="B51" s="770"/>
      <c r="C51" s="770"/>
      <c r="D51" s="34">
        <f>SUM(D52:D57)</f>
        <v>103660978</v>
      </c>
      <c r="E51" s="34">
        <f>SUM(E52:E57)</f>
        <v>116440360</v>
      </c>
      <c r="F51" s="34">
        <f>SUM(F52:F57)</f>
        <v>116440360</v>
      </c>
      <c r="G51" s="35">
        <f t="shared" si="0"/>
        <v>100</v>
      </c>
      <c r="H51" s="679"/>
      <c r="I51" s="679"/>
      <c r="J51" s="678"/>
      <c r="K51" s="678"/>
      <c r="L51" s="679"/>
      <c r="M51" s="679"/>
      <c r="N51" s="679"/>
      <c r="O51" s="679"/>
      <c r="P51" s="679"/>
      <c r="Q51" s="679"/>
      <c r="R51" s="679"/>
      <c r="S51" s="679"/>
      <c r="T51" s="679"/>
    </row>
    <row r="52" spans="1:20">
      <c r="A52" s="771"/>
      <c r="B52" s="506">
        <v>104031</v>
      </c>
      <c r="C52" s="507" t="s">
        <v>524</v>
      </c>
      <c r="D52" s="26">
        <f>SUM(D99+D146+D342+D194+D244+D293+D390+D435)</f>
        <v>1319387</v>
      </c>
      <c r="E52" s="26">
        <f t="shared" ref="E52:F52" si="7">SUM(E99+E146+E342+E194+E244+E293+E390+E435)</f>
        <v>1364908</v>
      </c>
      <c r="F52" s="26">
        <f t="shared" si="7"/>
        <v>1364908</v>
      </c>
      <c r="G52" s="28">
        <f>ROUND(F52/E52*100,2)</f>
        <v>100</v>
      </c>
    </row>
    <row r="53" spans="1:20">
      <c r="A53" s="772"/>
      <c r="B53" s="506">
        <v>104035</v>
      </c>
      <c r="C53" s="507" t="s">
        <v>525</v>
      </c>
      <c r="D53" s="26">
        <f t="shared" ref="D53:F57" si="8">SUM(D100+D147+D343+D195+D245+D294+D391+D436)</f>
        <v>1734897</v>
      </c>
      <c r="E53" s="26">
        <f t="shared" si="8"/>
        <v>1804188</v>
      </c>
      <c r="F53" s="26">
        <f t="shared" si="8"/>
        <v>1804188</v>
      </c>
      <c r="G53" s="28">
        <f t="shared" si="0"/>
        <v>100</v>
      </c>
    </row>
    <row r="54" spans="1:20">
      <c r="A54" s="772"/>
      <c r="B54" s="506">
        <v>104036</v>
      </c>
      <c r="C54" s="507" t="s">
        <v>526</v>
      </c>
      <c r="D54" s="26">
        <f t="shared" si="8"/>
        <v>0</v>
      </c>
      <c r="E54" s="26">
        <f t="shared" si="8"/>
        <v>0</v>
      </c>
      <c r="F54" s="26">
        <f t="shared" si="8"/>
        <v>0</v>
      </c>
      <c r="G54" s="28">
        <v>0</v>
      </c>
    </row>
    <row r="55" spans="1:20">
      <c r="A55" s="772"/>
      <c r="B55" s="506">
        <v>104037</v>
      </c>
      <c r="C55" s="507" t="s">
        <v>534</v>
      </c>
      <c r="D55" s="26">
        <f t="shared" si="8"/>
        <v>0</v>
      </c>
      <c r="E55" s="26">
        <f t="shared" si="8"/>
        <v>0</v>
      </c>
      <c r="F55" s="26">
        <f t="shared" si="8"/>
        <v>0</v>
      </c>
      <c r="G55" s="28">
        <v>0</v>
      </c>
    </row>
    <row r="56" spans="1:20">
      <c r="A56" s="772"/>
      <c r="B56" s="508" t="s">
        <v>510</v>
      </c>
      <c r="C56" s="507" t="s">
        <v>533</v>
      </c>
      <c r="D56" s="26">
        <f t="shared" si="8"/>
        <v>0</v>
      </c>
      <c r="E56" s="26">
        <f t="shared" si="8"/>
        <v>0</v>
      </c>
      <c r="F56" s="26">
        <f t="shared" si="8"/>
        <v>0</v>
      </c>
      <c r="G56" s="28">
        <v>0</v>
      </c>
    </row>
    <row r="57" spans="1:20">
      <c r="A57" s="781"/>
      <c r="B57" s="508" t="s">
        <v>508</v>
      </c>
      <c r="C57" s="507" t="s">
        <v>516</v>
      </c>
      <c r="D57" s="26">
        <f t="shared" si="8"/>
        <v>100606694</v>
      </c>
      <c r="E57" s="26">
        <f t="shared" si="8"/>
        <v>113271264</v>
      </c>
      <c r="F57" s="26">
        <f t="shared" si="8"/>
        <v>113271264</v>
      </c>
      <c r="G57" s="28">
        <f t="shared" si="0"/>
        <v>100</v>
      </c>
    </row>
    <row r="58" spans="1:20">
      <c r="A58" s="700"/>
      <c r="B58" s="682"/>
      <c r="C58" s="681"/>
      <c r="D58" s="672"/>
      <c r="E58" s="672"/>
      <c r="F58" s="672"/>
      <c r="G58" s="703"/>
    </row>
    <row r="59" spans="1:20">
      <c r="A59" s="700"/>
      <c r="B59" s="682"/>
      <c r="C59" s="681"/>
      <c r="D59" s="672"/>
      <c r="E59" s="672"/>
      <c r="F59" s="672"/>
      <c r="G59" s="703"/>
    </row>
    <row r="60" spans="1:20" s="685" customFormat="1" ht="15.75">
      <c r="A60" s="761" t="s">
        <v>891</v>
      </c>
      <c r="B60" s="761"/>
      <c r="C60" s="761"/>
      <c r="D60" s="38">
        <f>SUM(D62+D81)</f>
        <v>33374724</v>
      </c>
      <c r="E60" s="38">
        <f>SUM(E62+E81)</f>
        <v>34546345</v>
      </c>
      <c r="F60" s="38">
        <f>SUM(F62+F81)</f>
        <v>34546345</v>
      </c>
      <c r="G60" s="39">
        <f>ROUND(F60/E60*100,2)</f>
        <v>100</v>
      </c>
      <c r="H60" s="701"/>
      <c r="I60" s="684"/>
      <c r="J60" s="683"/>
      <c r="K60" s="683"/>
      <c r="L60" s="684"/>
      <c r="M60" s="684"/>
      <c r="N60" s="684"/>
      <c r="O60" s="684"/>
      <c r="P60" s="684"/>
      <c r="Q60" s="684"/>
      <c r="R60" s="684"/>
      <c r="S60" s="684"/>
      <c r="T60" s="684"/>
    </row>
    <row r="61" spans="1:20" s="680" customFormat="1" ht="12.75" customHeight="1">
      <c r="A61" s="764" t="s">
        <v>1</v>
      </c>
      <c r="B61" s="764"/>
      <c r="C61" s="764"/>
      <c r="D61" s="27">
        <f>SUM(D62)</f>
        <v>2000</v>
      </c>
      <c r="E61" s="27">
        <f>SUM(E62)</f>
        <v>3688</v>
      </c>
      <c r="F61" s="27">
        <f>SUM(F62)</f>
        <v>3688</v>
      </c>
      <c r="G61" s="29">
        <f>ROUND(F61/E61*100,2)</f>
        <v>100</v>
      </c>
      <c r="H61" s="679"/>
      <c r="I61" s="679"/>
      <c r="J61" s="678"/>
      <c r="K61" s="678"/>
      <c r="L61" s="679"/>
      <c r="M61" s="679"/>
      <c r="N61" s="679"/>
      <c r="O61" s="679"/>
      <c r="P61" s="679"/>
      <c r="Q61" s="679"/>
      <c r="R61" s="679"/>
      <c r="S61" s="679"/>
      <c r="T61" s="679"/>
    </row>
    <row r="62" spans="1:20" s="686" customFormat="1" ht="12.75" customHeight="1">
      <c r="A62" s="765" t="s">
        <v>527</v>
      </c>
      <c r="B62" s="765"/>
      <c r="C62" s="765"/>
      <c r="D62" s="30">
        <f>SUM(D63:D80)</f>
        <v>2000</v>
      </c>
      <c r="E62" s="30">
        <f>SUM(E63:E80)</f>
        <v>3688</v>
      </c>
      <c r="F62" s="30">
        <f>SUM(F63:F80)</f>
        <v>3688</v>
      </c>
      <c r="G62" s="31">
        <f>ROUND(F62/E62*100,2)</f>
        <v>100</v>
      </c>
      <c r="H62" s="679"/>
      <c r="I62" s="679"/>
      <c r="J62" s="678"/>
      <c r="K62" s="678"/>
      <c r="L62" s="679"/>
      <c r="M62" s="679"/>
      <c r="N62" s="679"/>
      <c r="O62" s="679"/>
      <c r="P62" s="679"/>
      <c r="Q62" s="679"/>
      <c r="R62" s="679"/>
      <c r="S62" s="679"/>
      <c r="T62" s="679"/>
    </row>
    <row r="63" spans="1:20" ht="12.75" customHeight="1">
      <c r="A63" s="766"/>
      <c r="B63" s="508" t="s">
        <v>506</v>
      </c>
      <c r="C63" s="507" t="s">
        <v>512</v>
      </c>
      <c r="D63" s="26">
        <v>2000</v>
      </c>
      <c r="E63" s="26">
        <v>3687</v>
      </c>
      <c r="F63" s="26">
        <v>3687</v>
      </c>
      <c r="G63" s="28">
        <f>ROUND(F63/E63*100,2)</f>
        <v>100</v>
      </c>
    </row>
    <row r="64" spans="1:20" ht="12.75" customHeight="1">
      <c r="A64" s="766"/>
      <c r="B64" s="508" t="s">
        <v>507</v>
      </c>
      <c r="C64" s="507" t="s">
        <v>517</v>
      </c>
      <c r="D64" s="26"/>
      <c r="E64" s="26"/>
      <c r="F64" s="26"/>
      <c r="G64" s="28"/>
    </row>
    <row r="65" spans="1:7" ht="12.75" customHeight="1">
      <c r="A65" s="766"/>
      <c r="B65" s="506">
        <v>107052</v>
      </c>
      <c r="C65" s="507" t="s">
        <v>515</v>
      </c>
      <c r="D65" s="26"/>
      <c r="E65" s="26"/>
      <c r="F65" s="26"/>
      <c r="G65" s="28"/>
    </row>
    <row r="66" spans="1:7" ht="12.75" customHeight="1">
      <c r="A66" s="766"/>
      <c r="B66" s="508" t="s">
        <v>513</v>
      </c>
      <c r="C66" s="507" t="s">
        <v>514</v>
      </c>
      <c r="D66" s="26"/>
      <c r="E66" s="26"/>
      <c r="F66" s="26"/>
      <c r="G66" s="28"/>
    </row>
    <row r="67" spans="1:7" ht="12.75" customHeight="1">
      <c r="A67" s="766"/>
      <c r="B67" s="508" t="s">
        <v>508</v>
      </c>
      <c r="C67" s="507" t="s">
        <v>516</v>
      </c>
      <c r="D67" s="26"/>
      <c r="E67" s="26"/>
      <c r="F67" s="26"/>
      <c r="G67" s="28"/>
    </row>
    <row r="68" spans="1:7" ht="12.75" customHeight="1">
      <c r="A68" s="766"/>
      <c r="B68" s="508" t="s">
        <v>509</v>
      </c>
      <c r="C68" s="507" t="s">
        <v>511</v>
      </c>
      <c r="D68" s="26"/>
      <c r="E68" s="26"/>
      <c r="F68" s="26"/>
      <c r="G68" s="28"/>
    </row>
    <row r="69" spans="1:7" ht="12.75" customHeight="1">
      <c r="A69" s="766"/>
      <c r="B69" s="506">
        <v>107052</v>
      </c>
      <c r="C69" s="507" t="s">
        <v>518</v>
      </c>
      <c r="D69" s="26"/>
      <c r="E69" s="26"/>
      <c r="F69" s="26"/>
      <c r="G69" s="28"/>
    </row>
    <row r="70" spans="1:7" ht="12.75" customHeight="1">
      <c r="A70" s="766"/>
      <c r="B70" s="506">
        <v>107051</v>
      </c>
      <c r="C70" s="507" t="s">
        <v>194</v>
      </c>
      <c r="D70" s="26"/>
      <c r="E70" s="26"/>
      <c r="F70" s="26"/>
      <c r="G70" s="28"/>
    </row>
    <row r="71" spans="1:7" ht="12.75" customHeight="1">
      <c r="A71" s="766"/>
      <c r="B71" s="506">
        <v>107053</v>
      </c>
      <c r="C71" s="507" t="s">
        <v>519</v>
      </c>
      <c r="D71" s="26"/>
      <c r="E71" s="26"/>
      <c r="F71" s="26"/>
      <c r="G71" s="28"/>
    </row>
    <row r="72" spans="1:7" ht="12.75" customHeight="1">
      <c r="A72" s="766"/>
      <c r="B72" s="506">
        <v>102031</v>
      </c>
      <c r="C72" s="507" t="s">
        <v>520</v>
      </c>
      <c r="D72" s="26"/>
      <c r="E72" s="26"/>
      <c r="F72" s="26"/>
      <c r="G72" s="28"/>
    </row>
    <row r="73" spans="1:7" ht="12.75" customHeight="1">
      <c r="A73" s="766"/>
      <c r="B73" s="506">
        <v>107013</v>
      </c>
      <c r="C73" s="507" t="s">
        <v>521</v>
      </c>
      <c r="D73" s="26"/>
      <c r="E73" s="26"/>
      <c r="F73" s="26"/>
      <c r="G73" s="28"/>
    </row>
    <row r="74" spans="1:7" ht="27" customHeight="1">
      <c r="A74" s="766"/>
      <c r="B74" s="509" t="s">
        <v>884</v>
      </c>
      <c r="C74" s="510" t="s">
        <v>1191</v>
      </c>
      <c r="D74" s="26"/>
      <c r="E74" s="26"/>
      <c r="F74" s="26"/>
      <c r="G74" s="28"/>
    </row>
    <row r="75" spans="1:7" ht="12.75" customHeight="1">
      <c r="A75" s="766"/>
      <c r="B75" s="506">
        <v>104042</v>
      </c>
      <c r="C75" s="507" t="s">
        <v>522</v>
      </c>
      <c r="D75" s="26"/>
      <c r="E75" s="26"/>
      <c r="F75" s="443"/>
      <c r="G75" s="28"/>
    </row>
    <row r="76" spans="1:7" ht="12.75" customHeight="1">
      <c r="A76" s="766"/>
      <c r="B76" s="506">
        <v>104042</v>
      </c>
      <c r="C76" s="507" t="s">
        <v>874</v>
      </c>
      <c r="D76" s="26">
        <v>0</v>
      </c>
      <c r="E76" s="26">
        <v>1</v>
      </c>
      <c r="F76" s="443">
        <v>1</v>
      </c>
      <c r="G76" s="28">
        <f>ROUND(F76/E76*100,2)</f>
        <v>100</v>
      </c>
    </row>
    <row r="77" spans="1:7" ht="12.75" customHeight="1">
      <c r="A77" s="766"/>
      <c r="B77" s="506">
        <v>104043</v>
      </c>
      <c r="C77" s="507" t="s">
        <v>523</v>
      </c>
      <c r="D77" s="26"/>
      <c r="E77" s="26"/>
      <c r="F77" s="26"/>
      <c r="G77" s="28"/>
    </row>
    <row r="78" spans="1:7" ht="12.75" customHeight="1">
      <c r="A78" s="766"/>
      <c r="B78" s="506">
        <v>104031</v>
      </c>
      <c r="C78" s="507" t="s">
        <v>524</v>
      </c>
      <c r="D78" s="26"/>
      <c r="E78" s="26"/>
      <c r="F78" s="26"/>
      <c r="G78" s="28"/>
    </row>
    <row r="79" spans="1:7" ht="12.75" customHeight="1">
      <c r="A79" s="766"/>
      <c r="B79" s="506">
        <v>104035</v>
      </c>
      <c r="C79" s="507" t="s">
        <v>525</v>
      </c>
      <c r="D79" s="26"/>
      <c r="E79" s="26"/>
      <c r="F79" s="26"/>
      <c r="G79" s="28"/>
    </row>
    <row r="80" spans="1:7" ht="12.75" customHeight="1">
      <c r="A80" s="766"/>
      <c r="B80" s="506">
        <v>104036</v>
      </c>
      <c r="C80" s="507" t="s">
        <v>526</v>
      </c>
      <c r="D80" s="26"/>
      <c r="E80" s="26"/>
      <c r="F80" s="26"/>
      <c r="G80" s="28"/>
    </row>
    <row r="81" spans="1:20" s="680" customFormat="1" ht="12.75" customHeight="1">
      <c r="A81" s="767" t="s">
        <v>528</v>
      </c>
      <c r="B81" s="767"/>
      <c r="C81" s="767"/>
      <c r="D81" s="27">
        <f>SUM(D82+D91+D98)</f>
        <v>33372724</v>
      </c>
      <c r="E81" s="27">
        <f>SUM(E82+E91+E98)</f>
        <v>34542657</v>
      </c>
      <c r="F81" s="27">
        <f>SUM(F82+F91+F98)</f>
        <v>34542657</v>
      </c>
      <c r="G81" s="29">
        <f t="shared" ref="G81:G88" si="9">ROUND(F81/E81*100,2)</f>
        <v>100</v>
      </c>
      <c r="H81" s="679"/>
      <c r="I81" s="679"/>
      <c r="J81" s="678"/>
      <c r="K81" s="678"/>
      <c r="L81" s="679"/>
      <c r="M81" s="679"/>
      <c r="N81" s="679"/>
      <c r="O81" s="679"/>
      <c r="P81" s="679"/>
      <c r="Q81" s="679"/>
      <c r="R81" s="679"/>
      <c r="S81" s="679"/>
      <c r="T81" s="679"/>
    </row>
    <row r="82" spans="1:20" s="687" customFormat="1" ht="12.75" customHeight="1">
      <c r="A82" s="768" t="s">
        <v>530</v>
      </c>
      <c r="B82" s="768"/>
      <c r="C82" s="768"/>
      <c r="D82" s="32">
        <f>SUM(D83:D90)</f>
        <v>30306940</v>
      </c>
      <c r="E82" s="32">
        <f>SUM(E83:E90)</f>
        <v>31359495</v>
      </c>
      <c r="F82" s="32">
        <f>SUM(F83:F90)</f>
        <v>31359495</v>
      </c>
      <c r="G82" s="33">
        <f t="shared" si="9"/>
        <v>100</v>
      </c>
      <c r="H82" s="679"/>
      <c r="I82" s="679"/>
      <c r="J82" s="678"/>
      <c r="K82" s="678"/>
      <c r="L82" s="679"/>
      <c r="M82" s="679"/>
      <c r="N82" s="679"/>
      <c r="O82" s="679"/>
      <c r="P82" s="679"/>
      <c r="Q82" s="679"/>
      <c r="R82" s="679"/>
      <c r="S82" s="679"/>
      <c r="T82" s="679"/>
    </row>
    <row r="83" spans="1:20" ht="12.75" customHeight="1">
      <c r="A83" s="766"/>
      <c r="B83" s="506">
        <v>107052</v>
      </c>
      <c r="C83" s="507" t="s">
        <v>518</v>
      </c>
      <c r="D83" s="26">
        <v>16151500</v>
      </c>
      <c r="E83" s="26">
        <v>16426250</v>
      </c>
      <c r="F83" s="26">
        <v>16426250</v>
      </c>
      <c r="G83" s="28">
        <f t="shared" si="9"/>
        <v>100</v>
      </c>
    </row>
    <row r="84" spans="1:20" ht="12.75" customHeight="1">
      <c r="A84" s="766"/>
      <c r="B84" s="506">
        <v>107053</v>
      </c>
      <c r="C84" s="507" t="s">
        <v>519</v>
      </c>
      <c r="D84" s="26">
        <v>2363440</v>
      </c>
      <c r="E84" s="26">
        <v>2507630</v>
      </c>
      <c r="F84" s="26">
        <v>2507630</v>
      </c>
      <c r="G84" s="28">
        <f t="shared" si="9"/>
        <v>100</v>
      </c>
    </row>
    <row r="85" spans="1:20" ht="12.75" customHeight="1">
      <c r="A85" s="766"/>
      <c r="B85" s="506">
        <v>107051</v>
      </c>
      <c r="C85" s="507" t="s">
        <v>194</v>
      </c>
      <c r="D85" s="26">
        <v>7722000</v>
      </c>
      <c r="E85" s="26">
        <v>8297730</v>
      </c>
      <c r="F85" s="26">
        <v>8297730</v>
      </c>
      <c r="G85" s="28">
        <f t="shared" si="9"/>
        <v>100</v>
      </c>
    </row>
    <row r="86" spans="1:20" ht="12.75" customHeight="1">
      <c r="A86" s="766"/>
      <c r="B86" s="506">
        <v>102031</v>
      </c>
      <c r="C86" s="507" t="s">
        <v>520</v>
      </c>
      <c r="D86" s="26">
        <v>530000</v>
      </c>
      <c r="E86" s="26">
        <v>632825</v>
      </c>
      <c r="F86" s="26">
        <v>632825</v>
      </c>
      <c r="G86" s="28">
        <f t="shared" si="9"/>
        <v>100</v>
      </c>
    </row>
    <row r="87" spans="1:20" ht="12.75" customHeight="1">
      <c r="A87" s="766"/>
      <c r="B87" s="506">
        <v>102032</v>
      </c>
      <c r="C87" s="507" t="s">
        <v>883</v>
      </c>
      <c r="D87" s="26">
        <v>740000</v>
      </c>
      <c r="E87" s="26">
        <v>685940</v>
      </c>
      <c r="F87" s="26">
        <v>685940</v>
      </c>
      <c r="G87" s="28">
        <f t="shared" si="9"/>
        <v>100</v>
      </c>
    </row>
    <row r="88" spans="1:20" ht="12.75" customHeight="1">
      <c r="A88" s="766"/>
      <c r="B88" s="506">
        <v>107013</v>
      </c>
      <c r="C88" s="507" t="s">
        <v>532</v>
      </c>
      <c r="D88" s="26">
        <v>2800000</v>
      </c>
      <c r="E88" s="26">
        <v>2809120</v>
      </c>
      <c r="F88" s="26">
        <v>2809120</v>
      </c>
      <c r="G88" s="28">
        <f t="shared" si="9"/>
        <v>100</v>
      </c>
    </row>
    <row r="89" spans="1:20" ht="12.75" customHeight="1">
      <c r="A89" s="766"/>
      <c r="B89" s="508" t="s">
        <v>510</v>
      </c>
      <c r="C89" s="507" t="s">
        <v>533</v>
      </c>
      <c r="D89" s="26"/>
      <c r="E89" s="26"/>
      <c r="F89" s="26"/>
      <c r="G89" s="28"/>
    </row>
    <row r="90" spans="1:20" ht="12.75" customHeight="1">
      <c r="A90" s="766"/>
      <c r="B90" s="508" t="s">
        <v>508</v>
      </c>
      <c r="C90" s="507" t="s">
        <v>516</v>
      </c>
      <c r="D90" s="26"/>
      <c r="E90" s="26"/>
      <c r="F90" s="26"/>
      <c r="G90" s="28"/>
    </row>
    <row r="91" spans="1:20" s="688" customFormat="1" ht="12.75" customHeight="1">
      <c r="A91" s="769" t="s">
        <v>529</v>
      </c>
      <c r="B91" s="769"/>
      <c r="C91" s="769"/>
      <c r="D91" s="36">
        <f>SUM(D92:D97)</f>
        <v>11500</v>
      </c>
      <c r="E91" s="36">
        <f>SUM(E92:E97)</f>
        <v>14066</v>
      </c>
      <c r="F91" s="36">
        <f>SUM(F92:F97)</f>
        <v>14066</v>
      </c>
      <c r="G91" s="37">
        <f>ROUND(F91/E91*100,2)</f>
        <v>100</v>
      </c>
      <c r="H91" s="679"/>
      <c r="I91" s="679"/>
      <c r="J91" s="678"/>
      <c r="K91" s="678"/>
      <c r="L91" s="679"/>
      <c r="M91" s="679"/>
      <c r="N91" s="679"/>
      <c r="O91" s="679"/>
      <c r="P91" s="679"/>
      <c r="Q91" s="679"/>
      <c r="R91" s="679"/>
      <c r="S91" s="679"/>
      <c r="T91" s="679"/>
    </row>
    <row r="92" spans="1:20" ht="12.75" customHeight="1">
      <c r="A92" s="766"/>
      <c r="B92" s="506">
        <v>104042</v>
      </c>
      <c r="C92" s="507" t="s">
        <v>522</v>
      </c>
      <c r="D92" s="26">
        <v>11250</v>
      </c>
      <c r="E92" s="26">
        <v>13285</v>
      </c>
      <c r="F92" s="26">
        <v>13285</v>
      </c>
      <c r="G92" s="28">
        <f>ROUND(F92/E92*100,2)</f>
        <v>100</v>
      </c>
    </row>
    <row r="93" spans="1:20" ht="12.75" customHeight="1">
      <c r="A93" s="766"/>
      <c r="B93" s="506">
        <v>104043</v>
      </c>
      <c r="C93" s="507" t="s">
        <v>523</v>
      </c>
      <c r="D93" s="26">
        <v>250</v>
      </c>
      <c r="E93" s="26">
        <v>781</v>
      </c>
      <c r="F93" s="26">
        <v>781</v>
      </c>
      <c r="G93" s="28">
        <f>ROUND(F93/E93*100,2)</f>
        <v>100</v>
      </c>
    </row>
    <row r="94" spans="1:20">
      <c r="A94" s="766"/>
      <c r="B94" s="508" t="s">
        <v>508</v>
      </c>
      <c r="C94" s="510" t="s">
        <v>1191</v>
      </c>
      <c r="D94" s="26"/>
      <c r="E94" s="26"/>
      <c r="F94" s="26"/>
      <c r="G94" s="28"/>
    </row>
    <row r="95" spans="1:20">
      <c r="A95" s="766"/>
      <c r="B95" s="508" t="s">
        <v>848</v>
      </c>
      <c r="C95" s="510" t="s">
        <v>1191</v>
      </c>
      <c r="D95" s="26"/>
      <c r="E95" s="26"/>
      <c r="F95" s="26"/>
      <c r="G95" s="28"/>
    </row>
    <row r="96" spans="1:20" ht="12.75" customHeight="1">
      <c r="A96" s="766"/>
      <c r="B96" s="508" t="s">
        <v>510</v>
      </c>
      <c r="C96" s="507" t="s">
        <v>533</v>
      </c>
      <c r="D96" s="26"/>
      <c r="E96" s="26"/>
      <c r="F96" s="26"/>
      <c r="G96" s="28"/>
    </row>
    <row r="97" spans="1:20" ht="12.75" customHeight="1">
      <c r="A97" s="766"/>
      <c r="B97" s="508" t="s">
        <v>508</v>
      </c>
      <c r="C97" s="507" t="s">
        <v>516</v>
      </c>
      <c r="D97" s="26"/>
      <c r="E97" s="26"/>
      <c r="F97" s="26"/>
      <c r="G97" s="28"/>
    </row>
    <row r="98" spans="1:20" s="689" customFormat="1" ht="12.75" customHeight="1">
      <c r="A98" s="770" t="s">
        <v>531</v>
      </c>
      <c r="B98" s="770"/>
      <c r="C98" s="770"/>
      <c r="D98" s="34">
        <f>SUM(D99:D104)</f>
        <v>3054284</v>
      </c>
      <c r="E98" s="34">
        <f>SUM(E99:E104)</f>
        <v>3169096</v>
      </c>
      <c r="F98" s="34">
        <f>SUM(F99:F104)</f>
        <v>3169096</v>
      </c>
      <c r="G98" s="35">
        <f>ROUND(F98/E98*100,2)</f>
        <v>100</v>
      </c>
      <c r="H98" s="679"/>
      <c r="I98" s="679"/>
      <c r="J98" s="678"/>
      <c r="K98" s="678"/>
      <c r="L98" s="679"/>
      <c r="M98" s="679"/>
      <c r="N98" s="679"/>
      <c r="O98" s="679"/>
      <c r="P98" s="679"/>
      <c r="Q98" s="679"/>
      <c r="R98" s="679"/>
      <c r="S98" s="679"/>
      <c r="T98" s="679"/>
    </row>
    <row r="99" spans="1:20" ht="12.75" customHeight="1">
      <c r="A99" s="766"/>
      <c r="B99" s="506">
        <v>104031</v>
      </c>
      <c r="C99" s="507" t="s">
        <v>524</v>
      </c>
      <c r="D99" s="26">
        <v>1319387</v>
      </c>
      <c r="E99" s="26">
        <v>1364908</v>
      </c>
      <c r="F99" s="26">
        <v>1364908</v>
      </c>
      <c r="G99" s="28">
        <f>ROUND(F99/E99*100,2)</f>
        <v>100</v>
      </c>
      <c r="J99" s="671">
        <f>SUM(J83:J98)</f>
        <v>0</v>
      </c>
    </row>
    <row r="100" spans="1:20" ht="12.75" customHeight="1">
      <c r="A100" s="766"/>
      <c r="B100" s="506">
        <v>104035</v>
      </c>
      <c r="C100" s="507" t="s">
        <v>525</v>
      </c>
      <c r="D100" s="26">
        <v>1734897</v>
      </c>
      <c r="E100" s="26">
        <v>1804188</v>
      </c>
      <c r="F100" s="26">
        <v>1804188</v>
      </c>
      <c r="G100" s="28">
        <f>ROUND(F100/E100*100,2)</f>
        <v>100</v>
      </c>
    </row>
    <row r="101" spans="1:20" ht="12.75" customHeight="1">
      <c r="A101" s="766"/>
      <c r="B101" s="506">
        <v>104036</v>
      </c>
      <c r="C101" s="507" t="s">
        <v>526</v>
      </c>
      <c r="D101" s="26"/>
      <c r="E101" s="26"/>
      <c r="F101" s="26"/>
      <c r="G101" s="28"/>
    </row>
    <row r="102" spans="1:20" ht="12.75" customHeight="1">
      <c r="A102" s="766"/>
      <c r="B102" s="506">
        <v>104037</v>
      </c>
      <c r="C102" s="507" t="s">
        <v>534</v>
      </c>
      <c r="D102" s="26"/>
      <c r="E102" s="26"/>
      <c r="F102" s="26"/>
      <c r="G102" s="28"/>
    </row>
    <row r="103" spans="1:20" ht="12.75" customHeight="1">
      <c r="A103" s="766"/>
      <c r="B103" s="508" t="s">
        <v>510</v>
      </c>
      <c r="C103" s="507" t="s">
        <v>533</v>
      </c>
      <c r="D103" s="26"/>
      <c r="E103" s="26"/>
      <c r="F103" s="26"/>
      <c r="G103" s="28"/>
    </row>
    <row r="104" spans="1:20" ht="12.75" customHeight="1">
      <c r="A104" s="766"/>
      <c r="B104" s="508" t="s">
        <v>508</v>
      </c>
      <c r="C104" s="507" t="s">
        <v>516</v>
      </c>
      <c r="D104" s="26"/>
      <c r="E104" s="26"/>
      <c r="F104" s="26"/>
      <c r="G104" s="28"/>
    </row>
    <row r="105" spans="1:20" ht="12.75" customHeight="1">
      <c r="A105" s="704"/>
      <c r="B105" s="705"/>
      <c r="D105" s="706"/>
      <c r="E105" s="706"/>
      <c r="F105" s="706"/>
      <c r="G105" s="707"/>
    </row>
    <row r="106" spans="1:20" ht="15.75">
      <c r="A106" s="761" t="s">
        <v>1038</v>
      </c>
      <c r="B106" s="761"/>
      <c r="C106" s="761"/>
      <c r="D106" s="38">
        <f>SUM(D108+D128)</f>
        <v>368611389</v>
      </c>
      <c r="E106" s="38">
        <f>SUM(E108+E128)</f>
        <v>388199158</v>
      </c>
      <c r="F106" s="38">
        <f>SUM(F108+F128)</f>
        <v>388199158</v>
      </c>
      <c r="G106" s="39">
        <f>ROUND(F106/E106*100,2)</f>
        <v>100</v>
      </c>
    </row>
    <row r="107" spans="1:20">
      <c r="A107" s="764" t="s">
        <v>1</v>
      </c>
      <c r="B107" s="764"/>
      <c r="C107" s="764"/>
      <c r="D107" s="27">
        <f>SUM(D108)</f>
        <v>0</v>
      </c>
      <c r="E107" s="27">
        <f>SUM(E108)</f>
        <v>0</v>
      </c>
      <c r="F107" s="27">
        <f>SUM(F108)</f>
        <v>0</v>
      </c>
      <c r="G107" s="29">
        <v>0</v>
      </c>
    </row>
    <row r="108" spans="1:20" s="685" customFormat="1" ht="15.75">
      <c r="A108" s="765" t="s">
        <v>527</v>
      </c>
      <c r="B108" s="765"/>
      <c r="C108" s="765"/>
      <c r="D108" s="30">
        <f>SUM(D109:D127)</f>
        <v>0</v>
      </c>
      <c r="E108" s="30">
        <f>SUM(E109:E127)</f>
        <v>0</v>
      </c>
      <c r="F108" s="30">
        <f>SUM(F109:F127)</f>
        <v>0</v>
      </c>
      <c r="G108" s="31">
        <v>0</v>
      </c>
      <c r="H108" s="701"/>
      <c r="I108" s="684"/>
      <c r="J108" s="683"/>
      <c r="K108" s="683"/>
      <c r="L108" s="684"/>
      <c r="M108" s="684"/>
      <c r="N108" s="684"/>
      <c r="O108" s="684"/>
      <c r="P108" s="684"/>
      <c r="Q108" s="684"/>
      <c r="R108" s="684"/>
      <c r="S108" s="684"/>
      <c r="T108" s="684"/>
    </row>
    <row r="109" spans="1:20" s="680" customFormat="1" ht="12.75" customHeight="1">
      <c r="A109" s="766"/>
      <c r="B109" s="508" t="s">
        <v>506</v>
      </c>
      <c r="C109" s="507" t="s">
        <v>512</v>
      </c>
      <c r="D109" s="26"/>
      <c r="E109" s="26"/>
      <c r="F109" s="26"/>
      <c r="G109" s="28"/>
      <c r="H109" s="679"/>
      <c r="I109" s="679"/>
      <c r="J109" s="678"/>
      <c r="K109" s="678"/>
      <c r="L109" s="679"/>
      <c r="M109" s="679"/>
      <c r="N109" s="679"/>
      <c r="O109" s="679"/>
      <c r="P109" s="679"/>
      <c r="Q109" s="679"/>
      <c r="R109" s="679"/>
      <c r="S109" s="679"/>
      <c r="T109" s="679"/>
    </row>
    <row r="110" spans="1:20" s="686" customFormat="1" ht="12.75" customHeight="1">
      <c r="A110" s="766"/>
      <c r="B110" s="508" t="s">
        <v>507</v>
      </c>
      <c r="C110" s="507" t="s">
        <v>517</v>
      </c>
      <c r="D110" s="26"/>
      <c r="E110" s="26"/>
      <c r="F110" s="26"/>
      <c r="G110" s="28"/>
      <c r="H110" s="679"/>
      <c r="I110" s="679"/>
      <c r="J110" s="678"/>
      <c r="K110" s="678"/>
      <c r="L110" s="679"/>
      <c r="M110" s="679"/>
      <c r="N110" s="679"/>
      <c r="O110" s="679"/>
      <c r="P110" s="679"/>
      <c r="Q110" s="679"/>
      <c r="R110" s="679"/>
      <c r="S110" s="679"/>
      <c r="T110" s="679"/>
    </row>
    <row r="111" spans="1:20" ht="12.75" customHeight="1">
      <c r="A111" s="766"/>
      <c r="B111" s="508" t="s">
        <v>508</v>
      </c>
      <c r="C111" s="510" t="s">
        <v>1191</v>
      </c>
      <c r="D111" s="26"/>
      <c r="E111" s="26"/>
      <c r="F111" s="26"/>
      <c r="G111" s="28"/>
    </row>
    <row r="112" spans="1:20" ht="12.75" customHeight="1">
      <c r="A112" s="766"/>
      <c r="B112" s="506">
        <v>107052</v>
      </c>
      <c r="C112" s="507" t="s">
        <v>515</v>
      </c>
      <c r="D112" s="26"/>
      <c r="E112" s="26"/>
      <c r="F112" s="26"/>
      <c r="G112" s="28"/>
    </row>
    <row r="113" spans="1:7" ht="12.75" customHeight="1">
      <c r="A113" s="766"/>
      <c r="B113" s="508" t="s">
        <v>513</v>
      </c>
      <c r="C113" s="507" t="s">
        <v>514</v>
      </c>
      <c r="D113" s="26"/>
      <c r="E113" s="26"/>
      <c r="F113" s="26"/>
      <c r="G113" s="28"/>
    </row>
    <row r="114" spans="1:7" ht="12.75" customHeight="1">
      <c r="A114" s="766"/>
      <c r="B114" s="508" t="s">
        <v>508</v>
      </c>
      <c r="C114" s="507" t="s">
        <v>516</v>
      </c>
      <c r="D114" s="26"/>
      <c r="E114" s="26"/>
      <c r="F114" s="26"/>
      <c r="G114" s="28"/>
    </row>
    <row r="115" spans="1:7" ht="12.75" customHeight="1">
      <c r="A115" s="766"/>
      <c r="B115" s="508" t="s">
        <v>509</v>
      </c>
      <c r="C115" s="507" t="s">
        <v>511</v>
      </c>
      <c r="D115" s="26"/>
      <c r="E115" s="26"/>
      <c r="F115" s="26"/>
      <c r="G115" s="28"/>
    </row>
    <row r="116" spans="1:7" ht="12.75" customHeight="1">
      <c r="A116" s="766"/>
      <c r="B116" s="506">
        <v>107052</v>
      </c>
      <c r="C116" s="507" t="s">
        <v>518</v>
      </c>
      <c r="D116" s="26"/>
      <c r="E116" s="26"/>
      <c r="F116" s="26"/>
      <c r="G116" s="28"/>
    </row>
    <row r="117" spans="1:7" ht="12.75" customHeight="1">
      <c r="A117" s="766"/>
      <c r="B117" s="506">
        <v>107051</v>
      </c>
      <c r="C117" s="507" t="s">
        <v>194</v>
      </c>
      <c r="D117" s="26"/>
      <c r="E117" s="26"/>
      <c r="F117" s="26"/>
      <c r="G117" s="28"/>
    </row>
    <row r="118" spans="1:7" ht="12.75" customHeight="1">
      <c r="A118" s="766"/>
      <c r="B118" s="506">
        <v>107053</v>
      </c>
      <c r="C118" s="507" t="s">
        <v>519</v>
      </c>
      <c r="D118" s="26"/>
      <c r="E118" s="26"/>
      <c r="F118" s="26"/>
      <c r="G118" s="28"/>
    </row>
    <row r="119" spans="1:7" ht="12.75" customHeight="1">
      <c r="A119" s="766"/>
      <c r="B119" s="506">
        <v>102031</v>
      </c>
      <c r="C119" s="507" t="s">
        <v>520</v>
      </c>
      <c r="D119" s="26"/>
      <c r="E119" s="26"/>
      <c r="F119" s="26"/>
      <c r="G119" s="28"/>
    </row>
    <row r="120" spans="1:7" ht="12.75" customHeight="1">
      <c r="A120" s="766"/>
      <c r="B120" s="506">
        <v>107013</v>
      </c>
      <c r="C120" s="507" t="s">
        <v>521</v>
      </c>
      <c r="D120" s="26"/>
      <c r="E120" s="26"/>
      <c r="F120" s="26"/>
      <c r="G120" s="28"/>
    </row>
    <row r="121" spans="1:7" ht="12.75" customHeight="1">
      <c r="A121" s="766"/>
      <c r="B121" s="506">
        <v>104042</v>
      </c>
      <c r="C121" s="507" t="s">
        <v>522</v>
      </c>
      <c r="D121" s="26"/>
      <c r="E121" s="26"/>
      <c r="F121" s="26"/>
      <c r="G121" s="28"/>
    </row>
    <row r="122" spans="1:7" ht="12.75" customHeight="1">
      <c r="A122" s="766"/>
      <c r="B122" s="508" t="s">
        <v>508</v>
      </c>
      <c r="C122" s="507" t="s">
        <v>874</v>
      </c>
      <c r="D122" s="26"/>
      <c r="E122" s="26"/>
      <c r="F122" s="26"/>
      <c r="G122" s="28"/>
    </row>
    <row r="123" spans="1:7" ht="12.75" customHeight="1">
      <c r="A123" s="766"/>
      <c r="B123" s="506">
        <v>104043</v>
      </c>
      <c r="C123" s="507" t="s">
        <v>523</v>
      </c>
      <c r="D123" s="26"/>
      <c r="E123" s="26"/>
      <c r="F123" s="26"/>
      <c r="G123" s="28"/>
    </row>
    <row r="124" spans="1:7" ht="12.75" customHeight="1">
      <c r="A124" s="766"/>
      <c r="B124" s="506">
        <v>104031</v>
      </c>
      <c r="C124" s="507" t="s">
        <v>524</v>
      </c>
      <c r="D124" s="26"/>
      <c r="E124" s="26"/>
      <c r="F124" s="26"/>
      <c r="G124" s="28"/>
    </row>
    <row r="125" spans="1:7" ht="12.75" customHeight="1">
      <c r="A125" s="766"/>
      <c r="B125" s="506">
        <v>104035</v>
      </c>
      <c r="C125" s="507" t="s">
        <v>525</v>
      </c>
      <c r="D125" s="26"/>
      <c r="E125" s="26"/>
      <c r="F125" s="26"/>
      <c r="G125" s="28"/>
    </row>
    <row r="126" spans="1:7" ht="12.75" customHeight="1">
      <c r="A126" s="766"/>
      <c r="B126" s="506">
        <v>104037</v>
      </c>
      <c r="C126" s="507" t="s">
        <v>535</v>
      </c>
      <c r="D126" s="26"/>
      <c r="E126" s="26"/>
      <c r="F126" s="26"/>
      <c r="G126" s="28"/>
    </row>
    <row r="127" spans="1:7" ht="12.75" customHeight="1">
      <c r="A127" s="766"/>
      <c r="B127" s="506">
        <v>104036</v>
      </c>
      <c r="C127" s="507" t="s">
        <v>526</v>
      </c>
      <c r="D127" s="26"/>
      <c r="E127" s="26"/>
      <c r="F127" s="26"/>
      <c r="G127" s="28"/>
    </row>
    <row r="128" spans="1:7" ht="12.75" customHeight="1">
      <c r="A128" s="767" t="s">
        <v>528</v>
      </c>
      <c r="B128" s="767"/>
      <c r="C128" s="767"/>
      <c r="D128" s="27">
        <f>SUM(D129+D138+D145)</f>
        <v>368611389</v>
      </c>
      <c r="E128" s="27">
        <f>SUM(E129+E138+E145)</f>
        <v>388199158</v>
      </c>
      <c r="F128" s="27">
        <f>SUM(F129+F138+F145)</f>
        <v>388199158</v>
      </c>
      <c r="G128" s="29">
        <f>ROUND(F128/E128*100,2)</f>
        <v>100</v>
      </c>
    </row>
    <row r="129" spans="1:20" ht="12.75" customHeight="1">
      <c r="A129" s="768" t="s">
        <v>530</v>
      </c>
      <c r="B129" s="768"/>
      <c r="C129" s="768"/>
      <c r="D129" s="32">
        <f>SUM(D130:D137)</f>
        <v>190751443</v>
      </c>
      <c r="E129" s="32">
        <f>SUM(E130:E137)</f>
        <v>184541469</v>
      </c>
      <c r="F129" s="32">
        <f>SUM(F130:F137)</f>
        <v>184541469</v>
      </c>
      <c r="G129" s="33">
        <f>ROUND(F129/E129*100,2)</f>
        <v>100</v>
      </c>
    </row>
    <row r="130" spans="1:20" s="680" customFormat="1" ht="12.75" customHeight="1">
      <c r="A130" s="766"/>
      <c r="B130" s="506">
        <v>107052</v>
      </c>
      <c r="C130" s="507" t="s">
        <v>518</v>
      </c>
      <c r="D130" s="26"/>
      <c r="E130" s="26"/>
      <c r="F130" s="26"/>
      <c r="G130" s="28"/>
      <c r="H130" s="679"/>
      <c r="I130" s="679"/>
      <c r="J130" s="678"/>
      <c r="K130" s="678"/>
      <c r="L130" s="679"/>
      <c r="M130" s="679"/>
      <c r="N130" s="679"/>
      <c r="O130" s="679"/>
      <c r="P130" s="679"/>
      <c r="Q130" s="679"/>
      <c r="R130" s="679"/>
      <c r="S130" s="679"/>
      <c r="T130" s="679"/>
    </row>
    <row r="131" spans="1:20" s="687" customFormat="1" ht="12.75" customHeight="1">
      <c r="A131" s="766"/>
      <c r="B131" s="506">
        <v>107053</v>
      </c>
      <c r="C131" s="507" t="s">
        <v>519</v>
      </c>
      <c r="D131" s="26"/>
      <c r="E131" s="26"/>
      <c r="F131" s="26"/>
      <c r="G131" s="28"/>
      <c r="H131" s="679"/>
      <c r="I131" s="679"/>
      <c r="J131" s="678"/>
      <c r="K131" s="678"/>
      <c r="L131" s="679"/>
      <c r="M131" s="679"/>
      <c r="N131" s="679"/>
      <c r="O131" s="679"/>
      <c r="P131" s="679"/>
      <c r="Q131" s="679"/>
      <c r="R131" s="679"/>
      <c r="S131" s="679"/>
      <c r="T131" s="679"/>
    </row>
    <row r="132" spans="1:20" ht="12.75" customHeight="1">
      <c r="A132" s="766"/>
      <c r="B132" s="506">
        <v>107051</v>
      </c>
      <c r="C132" s="507" t="s">
        <v>194</v>
      </c>
      <c r="D132" s="26"/>
      <c r="E132" s="26"/>
      <c r="F132" s="26"/>
      <c r="G132" s="28"/>
    </row>
    <row r="133" spans="1:20" ht="12.75" customHeight="1">
      <c r="A133" s="766"/>
      <c r="B133" s="506">
        <v>102031</v>
      </c>
      <c r="C133" s="507" t="s">
        <v>520</v>
      </c>
      <c r="D133" s="26"/>
      <c r="E133" s="26"/>
      <c r="F133" s="26"/>
      <c r="G133" s="28"/>
    </row>
    <row r="134" spans="1:20" ht="12.75" customHeight="1">
      <c r="A134" s="766"/>
      <c r="B134" s="506">
        <v>102032</v>
      </c>
      <c r="C134" s="507" t="s">
        <v>883</v>
      </c>
      <c r="D134" s="26"/>
      <c r="E134" s="26"/>
      <c r="F134" s="26"/>
      <c r="G134" s="28"/>
    </row>
    <row r="135" spans="1:20" ht="12.75" customHeight="1">
      <c r="A135" s="766"/>
      <c r="B135" s="506">
        <v>107013</v>
      </c>
      <c r="C135" s="507" t="s">
        <v>532</v>
      </c>
      <c r="D135" s="26"/>
      <c r="E135" s="26"/>
      <c r="F135" s="26"/>
      <c r="G135" s="28"/>
    </row>
    <row r="136" spans="1:20" ht="12.75" customHeight="1">
      <c r="A136" s="766"/>
      <c r="B136" s="508" t="s">
        <v>510</v>
      </c>
      <c r="C136" s="507" t="s">
        <v>533</v>
      </c>
      <c r="D136" s="26"/>
      <c r="E136" s="26"/>
      <c r="F136" s="26"/>
      <c r="G136" s="28"/>
    </row>
    <row r="137" spans="1:20" ht="12.75" customHeight="1">
      <c r="A137" s="766"/>
      <c r="B137" s="508" t="s">
        <v>508</v>
      </c>
      <c r="C137" s="507" t="s">
        <v>516</v>
      </c>
      <c r="D137" s="26">
        <v>190751443</v>
      </c>
      <c r="E137" s="26">
        <v>184541469</v>
      </c>
      <c r="F137" s="26">
        <v>184541469</v>
      </c>
      <c r="G137" s="28">
        <f>ROUND(F137/E137*100,2)</f>
        <v>100</v>
      </c>
    </row>
    <row r="138" spans="1:20" ht="12.75" customHeight="1">
      <c r="A138" s="769" t="s">
        <v>529</v>
      </c>
      <c r="B138" s="769"/>
      <c r="C138" s="769"/>
      <c r="D138" s="36">
        <f>SUM(D139:D144)</f>
        <v>98300357</v>
      </c>
      <c r="E138" s="36">
        <f>SUM(E139:E144)</f>
        <v>111325623</v>
      </c>
      <c r="F138" s="36">
        <f>SUM(F139:F144)</f>
        <v>111325623</v>
      </c>
      <c r="G138" s="37">
        <f>ROUND(F138/E138*100,2)</f>
        <v>100</v>
      </c>
    </row>
    <row r="139" spans="1:20" ht="12.75" customHeight="1">
      <c r="A139" s="766"/>
      <c r="B139" s="506">
        <v>104042</v>
      </c>
      <c r="C139" s="507" t="s">
        <v>522</v>
      </c>
      <c r="D139" s="26"/>
      <c r="E139" s="26"/>
      <c r="F139" s="26"/>
      <c r="G139" s="28"/>
    </row>
    <row r="140" spans="1:20" s="688" customFormat="1" ht="12.75" customHeight="1">
      <c r="A140" s="766"/>
      <c r="B140" s="506">
        <v>104043</v>
      </c>
      <c r="C140" s="507" t="s">
        <v>523</v>
      </c>
      <c r="D140" s="26"/>
      <c r="E140" s="26"/>
      <c r="F140" s="26"/>
      <c r="G140" s="28"/>
      <c r="H140" s="679"/>
      <c r="I140" s="679"/>
      <c r="J140" s="678"/>
      <c r="K140" s="678"/>
      <c r="L140" s="679"/>
      <c r="M140" s="679"/>
      <c r="N140" s="679"/>
      <c r="O140" s="679"/>
      <c r="P140" s="679"/>
      <c r="Q140" s="679"/>
      <c r="R140" s="679"/>
      <c r="S140" s="679"/>
      <c r="T140" s="679"/>
    </row>
    <row r="141" spans="1:20" ht="12.75" customHeight="1">
      <c r="A141" s="766"/>
      <c r="B141" s="508" t="s">
        <v>508</v>
      </c>
      <c r="C141" s="510" t="s">
        <v>1191</v>
      </c>
      <c r="D141" s="26"/>
      <c r="E141" s="26"/>
      <c r="F141" s="26"/>
      <c r="G141" s="28"/>
    </row>
    <row r="142" spans="1:20" ht="12.75" customHeight="1">
      <c r="A142" s="766"/>
      <c r="B142" s="508" t="s">
        <v>848</v>
      </c>
      <c r="C142" s="510" t="s">
        <v>1191</v>
      </c>
      <c r="D142" s="26"/>
      <c r="E142" s="26"/>
      <c r="F142" s="26"/>
      <c r="G142" s="28"/>
    </row>
    <row r="143" spans="1:20" ht="12.75" customHeight="1">
      <c r="A143" s="766"/>
      <c r="B143" s="508" t="s">
        <v>510</v>
      </c>
      <c r="C143" s="507" t="s">
        <v>533</v>
      </c>
      <c r="D143" s="26"/>
      <c r="E143" s="26"/>
      <c r="F143" s="26"/>
      <c r="G143" s="28"/>
    </row>
    <row r="144" spans="1:20">
      <c r="A144" s="766"/>
      <c r="B144" s="508" t="s">
        <v>508</v>
      </c>
      <c r="C144" s="507" t="s">
        <v>516</v>
      </c>
      <c r="D144" s="26">
        <v>98300357</v>
      </c>
      <c r="E144" s="26">
        <f>111567733-242110</f>
        <v>111325623</v>
      </c>
      <c r="F144" s="26">
        <v>111325623</v>
      </c>
      <c r="G144" s="28">
        <f>ROUND(F144/E144*100,2)</f>
        <v>100</v>
      </c>
    </row>
    <row r="145" spans="1:20" ht="12.75" customHeight="1">
      <c r="A145" s="770" t="s">
        <v>531</v>
      </c>
      <c r="B145" s="770"/>
      <c r="C145" s="770"/>
      <c r="D145" s="34">
        <f>SUM(D146:D151)</f>
        <v>79559589</v>
      </c>
      <c r="E145" s="34">
        <f>SUM(E146:E151)</f>
        <v>92332066</v>
      </c>
      <c r="F145" s="34">
        <f>SUM(F146:F151)</f>
        <v>92332066</v>
      </c>
      <c r="G145" s="35">
        <f>ROUND(F145/E145*100,2)</f>
        <v>100</v>
      </c>
    </row>
    <row r="146" spans="1:20" ht="12.75" customHeight="1">
      <c r="A146" s="766"/>
      <c r="B146" s="506">
        <v>104031</v>
      </c>
      <c r="C146" s="507" t="s">
        <v>524</v>
      </c>
      <c r="D146" s="26"/>
      <c r="E146" s="26"/>
      <c r="F146" s="26"/>
      <c r="G146" s="28"/>
    </row>
    <row r="147" spans="1:20" s="689" customFormat="1" ht="12.75" customHeight="1">
      <c r="A147" s="766"/>
      <c r="B147" s="506">
        <v>104035</v>
      </c>
      <c r="C147" s="507" t="s">
        <v>525</v>
      </c>
      <c r="D147" s="26"/>
      <c r="E147" s="26"/>
      <c r="F147" s="26"/>
      <c r="G147" s="28"/>
      <c r="H147" s="679"/>
      <c r="I147" s="679"/>
      <c r="J147" s="678"/>
      <c r="K147" s="678"/>
      <c r="L147" s="679"/>
      <c r="M147" s="679"/>
      <c r="N147" s="679"/>
      <c r="O147" s="679"/>
      <c r="P147" s="679"/>
      <c r="Q147" s="679"/>
      <c r="R147" s="679"/>
      <c r="S147" s="679"/>
      <c r="T147" s="679"/>
    </row>
    <row r="148" spans="1:20" ht="12.75" customHeight="1">
      <c r="A148" s="766"/>
      <c r="B148" s="506">
        <v>104036</v>
      </c>
      <c r="C148" s="507" t="s">
        <v>526</v>
      </c>
      <c r="D148" s="26"/>
      <c r="E148" s="26"/>
      <c r="F148" s="26"/>
      <c r="G148" s="28"/>
    </row>
    <row r="149" spans="1:20" ht="12.75" customHeight="1">
      <c r="A149" s="766"/>
      <c r="B149" s="506">
        <v>104037</v>
      </c>
      <c r="C149" s="507" t="s">
        <v>534</v>
      </c>
      <c r="D149" s="26"/>
      <c r="E149" s="26"/>
      <c r="F149" s="26"/>
      <c r="G149" s="28"/>
    </row>
    <row r="150" spans="1:20" ht="12.75" customHeight="1">
      <c r="A150" s="766"/>
      <c r="B150" s="508" t="s">
        <v>510</v>
      </c>
      <c r="C150" s="507" t="s">
        <v>533</v>
      </c>
      <c r="D150" s="26"/>
      <c r="E150" s="26"/>
      <c r="F150" s="26"/>
      <c r="G150" s="28"/>
    </row>
    <row r="151" spans="1:20" ht="12.75" customHeight="1">
      <c r="A151" s="766"/>
      <c r="B151" s="508" t="s">
        <v>508</v>
      </c>
      <c r="C151" s="507" t="s">
        <v>516</v>
      </c>
      <c r="D151" s="26">
        <v>79559589</v>
      </c>
      <c r="E151" s="26">
        <v>92332066</v>
      </c>
      <c r="F151" s="26">
        <v>92332066</v>
      </c>
      <c r="G151" s="28">
        <f>ROUND(F151/E151*100,2)</f>
        <v>100</v>
      </c>
    </row>
    <row r="152" spans="1:20" ht="12.75" customHeight="1">
      <c r="A152" s="708"/>
      <c r="B152" s="682"/>
      <c r="C152" s="682"/>
      <c r="D152" s="682"/>
      <c r="E152" s="682"/>
      <c r="F152" s="682"/>
      <c r="G152" s="709"/>
    </row>
    <row r="153" spans="1:20" ht="12.75" customHeight="1">
      <c r="A153" s="708"/>
      <c r="B153" s="682"/>
      <c r="C153" s="682"/>
      <c r="D153" s="682"/>
      <c r="E153" s="682"/>
      <c r="F153" s="682"/>
      <c r="G153" s="709"/>
    </row>
    <row r="154" spans="1:20" ht="15.75">
      <c r="A154" s="789" t="s">
        <v>1039</v>
      </c>
      <c r="B154" s="789"/>
      <c r="C154" s="789"/>
      <c r="D154" s="586">
        <f>SUM(D156+D176)</f>
        <v>0</v>
      </c>
      <c r="E154" s="586">
        <f>SUM(E156+E176)</f>
        <v>242110</v>
      </c>
      <c r="F154" s="586">
        <f>SUM(F156+F176)</f>
        <v>242110</v>
      </c>
      <c r="G154" s="710">
        <f>ROUND(F154/E154*100,2)</f>
        <v>100</v>
      </c>
    </row>
    <row r="155" spans="1:20">
      <c r="A155" s="764" t="s">
        <v>1</v>
      </c>
      <c r="B155" s="764"/>
      <c r="C155" s="764"/>
      <c r="D155" s="27">
        <f>SUM(D156)</f>
        <v>0</v>
      </c>
      <c r="E155" s="27">
        <f>SUM(E156)</f>
        <v>0</v>
      </c>
      <c r="F155" s="27">
        <f>SUM(F156)</f>
        <v>0</v>
      </c>
      <c r="G155" s="28"/>
    </row>
    <row r="156" spans="1:20">
      <c r="A156" s="765" t="s">
        <v>527</v>
      </c>
      <c r="B156" s="765"/>
      <c r="C156" s="765"/>
      <c r="D156" s="30">
        <f>SUM(D157:D175)</f>
        <v>0</v>
      </c>
      <c r="E156" s="30">
        <f>SUM(E157:E175)</f>
        <v>0</v>
      </c>
      <c r="F156" s="30">
        <f>SUM(F157:F175)</f>
        <v>0</v>
      </c>
      <c r="G156" s="447"/>
    </row>
    <row r="157" spans="1:20">
      <c r="A157" s="766"/>
      <c r="B157" s="508" t="s">
        <v>506</v>
      </c>
      <c r="C157" s="507" t="s">
        <v>512</v>
      </c>
      <c r="D157" s="26"/>
      <c r="E157" s="26"/>
      <c r="F157" s="26"/>
      <c r="G157" s="29"/>
    </row>
    <row r="158" spans="1:20" s="685" customFormat="1" ht="15.75">
      <c r="A158" s="766"/>
      <c r="B158" s="508" t="s">
        <v>507</v>
      </c>
      <c r="C158" s="507" t="s">
        <v>517</v>
      </c>
      <c r="D158" s="26"/>
      <c r="E158" s="26"/>
      <c r="F158" s="26"/>
      <c r="G158" s="29"/>
      <c r="H158" s="701"/>
      <c r="I158" s="684"/>
      <c r="J158" s="683"/>
      <c r="K158" s="683"/>
      <c r="L158" s="684"/>
      <c r="M158" s="684"/>
      <c r="N158" s="684"/>
      <c r="O158" s="684"/>
      <c r="P158" s="684"/>
      <c r="Q158" s="684"/>
      <c r="R158" s="684"/>
      <c r="S158" s="684"/>
      <c r="T158" s="684"/>
    </row>
    <row r="159" spans="1:20" s="680" customFormat="1" ht="12.75" customHeight="1">
      <c r="A159" s="766"/>
      <c r="B159" s="508" t="s">
        <v>508</v>
      </c>
      <c r="C159" s="510" t="s">
        <v>1191</v>
      </c>
      <c r="D159" s="26"/>
      <c r="E159" s="26"/>
      <c r="F159" s="26"/>
      <c r="G159" s="29"/>
      <c r="H159" s="679"/>
      <c r="I159" s="679"/>
      <c r="J159" s="678"/>
      <c r="K159" s="678"/>
      <c r="L159" s="679"/>
      <c r="M159" s="679"/>
      <c r="N159" s="679"/>
      <c r="O159" s="679"/>
      <c r="P159" s="679"/>
      <c r="Q159" s="679"/>
      <c r="R159" s="679"/>
      <c r="S159" s="679"/>
      <c r="T159" s="679"/>
    </row>
    <row r="160" spans="1:20" s="686" customFormat="1" ht="12.75" customHeight="1">
      <c r="A160" s="766"/>
      <c r="B160" s="506">
        <v>107052</v>
      </c>
      <c r="C160" s="507" t="s">
        <v>515</v>
      </c>
      <c r="D160" s="26"/>
      <c r="E160" s="26"/>
      <c r="F160" s="26"/>
      <c r="G160" s="29"/>
      <c r="H160" s="679"/>
      <c r="I160" s="679"/>
      <c r="J160" s="678"/>
      <c r="K160" s="678"/>
      <c r="L160" s="679"/>
      <c r="M160" s="679"/>
      <c r="N160" s="679"/>
      <c r="O160" s="679"/>
      <c r="P160" s="679"/>
      <c r="Q160" s="679"/>
      <c r="R160" s="679"/>
      <c r="S160" s="679"/>
      <c r="T160" s="679"/>
    </row>
    <row r="161" spans="1:7" ht="12.75" customHeight="1">
      <c r="A161" s="766"/>
      <c r="B161" s="508" t="s">
        <v>513</v>
      </c>
      <c r="C161" s="507" t="s">
        <v>514</v>
      </c>
      <c r="D161" s="26"/>
      <c r="E161" s="26"/>
      <c r="F161" s="26"/>
      <c r="G161" s="29"/>
    </row>
    <row r="162" spans="1:7" ht="12.75" customHeight="1">
      <c r="A162" s="766"/>
      <c r="B162" s="508" t="s">
        <v>508</v>
      </c>
      <c r="C162" s="507" t="s">
        <v>516</v>
      </c>
      <c r="D162" s="26"/>
      <c r="E162" s="26"/>
      <c r="F162" s="26"/>
      <c r="G162" s="29"/>
    </row>
    <row r="163" spans="1:7" ht="29.25" customHeight="1">
      <c r="A163" s="766"/>
      <c r="B163" s="508" t="s">
        <v>509</v>
      </c>
      <c r="C163" s="507" t="s">
        <v>511</v>
      </c>
      <c r="D163" s="26"/>
      <c r="E163" s="26"/>
      <c r="F163" s="26"/>
      <c r="G163" s="28"/>
    </row>
    <row r="164" spans="1:7" ht="29.25" customHeight="1">
      <c r="A164" s="766"/>
      <c r="B164" s="506">
        <v>107052</v>
      </c>
      <c r="C164" s="507" t="s">
        <v>518</v>
      </c>
      <c r="D164" s="26"/>
      <c r="E164" s="26"/>
      <c r="F164" s="26"/>
      <c r="G164" s="28"/>
    </row>
    <row r="165" spans="1:7" ht="29.25" customHeight="1">
      <c r="A165" s="766"/>
      <c r="B165" s="506">
        <v>107051</v>
      </c>
      <c r="C165" s="507" t="s">
        <v>194</v>
      </c>
      <c r="D165" s="26"/>
      <c r="E165" s="26"/>
      <c r="F165" s="26"/>
      <c r="G165" s="28"/>
    </row>
    <row r="166" spans="1:7" ht="12.75" customHeight="1">
      <c r="A166" s="766"/>
      <c r="B166" s="506">
        <v>107053</v>
      </c>
      <c r="C166" s="507" t="s">
        <v>519</v>
      </c>
      <c r="D166" s="26"/>
      <c r="E166" s="26"/>
      <c r="F166" s="26"/>
      <c r="G166" s="28"/>
    </row>
    <row r="167" spans="1:7" ht="12.75" customHeight="1">
      <c r="A167" s="766"/>
      <c r="B167" s="506">
        <v>102031</v>
      </c>
      <c r="C167" s="507" t="s">
        <v>520</v>
      </c>
      <c r="D167" s="26"/>
      <c r="E167" s="26"/>
      <c r="F167" s="26"/>
      <c r="G167" s="28"/>
    </row>
    <row r="168" spans="1:7" ht="12.75" customHeight="1">
      <c r="A168" s="766"/>
      <c r="B168" s="506">
        <v>107013</v>
      </c>
      <c r="C168" s="507" t="s">
        <v>521</v>
      </c>
      <c r="D168" s="26"/>
      <c r="E168" s="26"/>
      <c r="F168" s="26"/>
      <c r="G168" s="28"/>
    </row>
    <row r="169" spans="1:7" ht="12.75" customHeight="1">
      <c r="A169" s="766"/>
      <c r="B169" s="506">
        <v>104042</v>
      </c>
      <c r="C169" s="507" t="s">
        <v>522</v>
      </c>
      <c r="D169" s="26"/>
      <c r="E169" s="26"/>
      <c r="F169" s="26"/>
      <c r="G169" s="28"/>
    </row>
    <row r="170" spans="1:7" ht="12.75" customHeight="1">
      <c r="A170" s="766"/>
      <c r="B170" s="508" t="s">
        <v>508</v>
      </c>
      <c r="C170" s="507" t="s">
        <v>874</v>
      </c>
      <c r="D170" s="26"/>
      <c r="E170" s="26"/>
      <c r="F170" s="26"/>
      <c r="G170" s="28"/>
    </row>
    <row r="171" spans="1:7" ht="12.75" customHeight="1">
      <c r="A171" s="766"/>
      <c r="B171" s="506">
        <v>104043</v>
      </c>
      <c r="C171" s="507" t="s">
        <v>523</v>
      </c>
      <c r="D171" s="26"/>
      <c r="E171" s="26"/>
      <c r="F171" s="26"/>
      <c r="G171" s="28"/>
    </row>
    <row r="172" spans="1:7" ht="12.75" customHeight="1">
      <c r="A172" s="766"/>
      <c r="B172" s="506">
        <v>104031</v>
      </c>
      <c r="C172" s="507" t="s">
        <v>524</v>
      </c>
      <c r="D172" s="26"/>
      <c r="E172" s="26"/>
      <c r="F172" s="26"/>
      <c r="G172" s="28"/>
    </row>
    <row r="173" spans="1:7" ht="12.75" customHeight="1">
      <c r="A173" s="766"/>
      <c r="B173" s="506">
        <v>104035</v>
      </c>
      <c r="C173" s="507" t="s">
        <v>525</v>
      </c>
      <c r="D173" s="26"/>
      <c r="E173" s="26"/>
      <c r="F173" s="26"/>
      <c r="G173" s="28"/>
    </row>
    <row r="174" spans="1:7" ht="12.75" customHeight="1">
      <c r="A174" s="766"/>
      <c r="B174" s="506">
        <v>104037</v>
      </c>
      <c r="C174" s="507" t="s">
        <v>535</v>
      </c>
      <c r="D174" s="26"/>
      <c r="E174" s="26"/>
      <c r="F174" s="26"/>
      <c r="G174" s="28"/>
    </row>
    <row r="175" spans="1:7" ht="12.75" customHeight="1">
      <c r="A175" s="766"/>
      <c r="B175" s="506">
        <v>104036</v>
      </c>
      <c r="C175" s="507" t="s">
        <v>526</v>
      </c>
      <c r="D175" s="26"/>
      <c r="E175" s="26"/>
      <c r="F175" s="26"/>
      <c r="G175" s="28"/>
    </row>
    <row r="176" spans="1:7" ht="12.75" customHeight="1">
      <c r="A176" s="767" t="s">
        <v>528</v>
      </c>
      <c r="B176" s="767"/>
      <c r="C176" s="767"/>
      <c r="D176" s="27">
        <f>SUM(D177+D186+D193)</f>
        <v>0</v>
      </c>
      <c r="E176" s="27">
        <f>SUM(E177+E186+E193)</f>
        <v>242110</v>
      </c>
      <c r="F176" s="27">
        <f>SUM(F177+F186+F193)</f>
        <v>242110</v>
      </c>
      <c r="G176" s="29">
        <f>ROUND(F176/E176*100,2)</f>
        <v>100</v>
      </c>
    </row>
    <row r="177" spans="1:20" ht="12.75" customHeight="1">
      <c r="A177" s="768" t="s">
        <v>530</v>
      </c>
      <c r="B177" s="768"/>
      <c r="C177" s="768"/>
      <c r="D177" s="32">
        <f>SUM(D178:D185)</f>
        <v>0</v>
      </c>
      <c r="E177" s="32">
        <f>SUM(E178:E185)</f>
        <v>0</v>
      </c>
      <c r="F177" s="32">
        <f>SUM(F178:F185)</f>
        <v>0</v>
      </c>
      <c r="G177" s="33"/>
    </row>
    <row r="178" spans="1:20" ht="12.75" customHeight="1">
      <c r="A178" s="766"/>
      <c r="B178" s="506">
        <v>107052</v>
      </c>
      <c r="C178" s="507" t="s">
        <v>518</v>
      </c>
      <c r="D178" s="26"/>
      <c r="E178" s="26"/>
      <c r="F178" s="26"/>
      <c r="G178" s="28"/>
    </row>
    <row r="179" spans="1:20" ht="12.75" customHeight="1">
      <c r="A179" s="766"/>
      <c r="B179" s="506">
        <v>107053</v>
      </c>
      <c r="C179" s="507" t="s">
        <v>519</v>
      </c>
      <c r="D179" s="26"/>
      <c r="E179" s="26"/>
      <c r="F179" s="26"/>
      <c r="G179" s="28"/>
    </row>
    <row r="180" spans="1:20" s="680" customFormat="1" ht="12.75" customHeight="1">
      <c r="A180" s="766"/>
      <c r="B180" s="506">
        <v>107051</v>
      </c>
      <c r="C180" s="507" t="s">
        <v>194</v>
      </c>
      <c r="D180" s="26"/>
      <c r="E180" s="26"/>
      <c r="F180" s="26"/>
      <c r="G180" s="28"/>
      <c r="H180" s="679"/>
      <c r="I180" s="679"/>
      <c r="J180" s="678"/>
      <c r="K180" s="678"/>
      <c r="L180" s="679"/>
      <c r="M180" s="679"/>
      <c r="N180" s="679"/>
      <c r="O180" s="679"/>
      <c r="P180" s="679"/>
      <c r="Q180" s="679"/>
      <c r="R180" s="679"/>
      <c r="S180" s="679"/>
      <c r="T180" s="679"/>
    </row>
    <row r="181" spans="1:20" s="687" customFormat="1" ht="12.75" customHeight="1">
      <c r="A181" s="766"/>
      <c r="B181" s="506">
        <v>102031</v>
      </c>
      <c r="C181" s="507" t="s">
        <v>520</v>
      </c>
      <c r="D181" s="26"/>
      <c r="E181" s="26"/>
      <c r="F181" s="26"/>
      <c r="G181" s="28"/>
      <c r="H181" s="679"/>
      <c r="I181" s="679"/>
      <c r="J181" s="678"/>
      <c r="K181" s="678"/>
      <c r="L181" s="679"/>
      <c r="M181" s="679"/>
      <c r="N181" s="679"/>
      <c r="O181" s="679"/>
      <c r="P181" s="679"/>
      <c r="Q181" s="679"/>
      <c r="R181" s="679"/>
      <c r="S181" s="679"/>
      <c r="T181" s="679"/>
    </row>
    <row r="182" spans="1:20" s="687" customFormat="1" ht="12.75" customHeight="1">
      <c r="A182" s="766"/>
      <c r="B182" s="506">
        <v>102032</v>
      </c>
      <c r="C182" s="507" t="s">
        <v>883</v>
      </c>
      <c r="D182" s="26"/>
      <c r="E182" s="26"/>
      <c r="F182" s="26"/>
      <c r="G182" s="28"/>
      <c r="H182" s="679"/>
      <c r="I182" s="679"/>
      <c r="J182" s="678"/>
      <c r="K182" s="678"/>
      <c r="L182" s="679"/>
      <c r="M182" s="679"/>
      <c r="N182" s="679"/>
      <c r="O182" s="679"/>
      <c r="P182" s="679"/>
      <c r="Q182" s="679"/>
      <c r="R182" s="679"/>
      <c r="S182" s="679"/>
      <c r="T182" s="679"/>
    </row>
    <row r="183" spans="1:20" ht="12.75" customHeight="1">
      <c r="A183" s="766"/>
      <c r="B183" s="506">
        <v>107013</v>
      </c>
      <c r="C183" s="507" t="s">
        <v>532</v>
      </c>
      <c r="D183" s="26"/>
      <c r="E183" s="26"/>
      <c r="F183" s="26"/>
      <c r="G183" s="28"/>
    </row>
    <row r="184" spans="1:20" ht="12.75" customHeight="1">
      <c r="A184" s="766"/>
      <c r="B184" s="508" t="s">
        <v>510</v>
      </c>
      <c r="C184" s="507" t="s">
        <v>533</v>
      </c>
      <c r="D184" s="26"/>
      <c r="E184" s="26"/>
      <c r="F184" s="26"/>
      <c r="G184" s="28"/>
    </row>
    <row r="185" spans="1:20" ht="12.75" customHeight="1">
      <c r="A185" s="766"/>
      <c r="B185" s="508" t="s">
        <v>508</v>
      </c>
      <c r="C185" s="507" t="s">
        <v>516</v>
      </c>
      <c r="D185" s="26"/>
      <c r="E185" s="26"/>
      <c r="F185" s="26"/>
      <c r="G185" s="28"/>
    </row>
    <row r="186" spans="1:20" ht="12.75" customHeight="1">
      <c r="A186" s="769" t="s">
        <v>529</v>
      </c>
      <c r="B186" s="769"/>
      <c r="C186" s="769"/>
      <c r="D186" s="36">
        <f>SUM(D187:D192)</f>
        <v>0</v>
      </c>
      <c r="E186" s="36">
        <f>SUM(E187:E192)</f>
        <v>242110</v>
      </c>
      <c r="F186" s="36">
        <f>SUM(F187:F192)</f>
        <v>242110</v>
      </c>
      <c r="G186" s="37">
        <f>ROUND(F186/E186*100,2)</f>
        <v>100</v>
      </c>
    </row>
    <row r="187" spans="1:20" ht="12.75" customHeight="1">
      <c r="A187" s="766"/>
      <c r="B187" s="506">
        <v>104042</v>
      </c>
      <c r="C187" s="507" t="s">
        <v>522</v>
      </c>
      <c r="D187" s="26"/>
      <c r="E187" s="26"/>
      <c r="F187" s="26"/>
      <c r="G187" s="28"/>
    </row>
    <row r="188" spans="1:20" ht="12.75" customHeight="1">
      <c r="A188" s="766"/>
      <c r="B188" s="506">
        <v>104043</v>
      </c>
      <c r="C188" s="507" t="s">
        <v>523</v>
      </c>
      <c r="D188" s="26"/>
      <c r="E188" s="26"/>
      <c r="F188" s="26"/>
      <c r="G188" s="28"/>
    </row>
    <row r="189" spans="1:20" ht="12.75" customHeight="1">
      <c r="A189" s="766"/>
      <c r="B189" s="508" t="s">
        <v>508</v>
      </c>
      <c r="C189" s="510" t="s">
        <v>1191</v>
      </c>
      <c r="D189" s="26">
        <v>0</v>
      </c>
      <c r="E189" s="26"/>
      <c r="F189" s="26"/>
      <c r="G189" s="28"/>
    </row>
    <row r="190" spans="1:20" ht="12.75" customHeight="1">
      <c r="A190" s="766"/>
      <c r="B190" s="508" t="s">
        <v>848</v>
      </c>
      <c r="C190" s="510" t="s">
        <v>1191</v>
      </c>
      <c r="D190" s="26"/>
      <c r="E190" s="26"/>
      <c r="F190" s="26"/>
      <c r="G190" s="28"/>
    </row>
    <row r="191" spans="1:20" s="688" customFormat="1" ht="12.75" customHeight="1">
      <c r="A191" s="766"/>
      <c r="B191" s="508" t="s">
        <v>510</v>
      </c>
      <c r="C191" s="507" t="s">
        <v>533</v>
      </c>
      <c r="D191" s="26"/>
      <c r="E191" s="26"/>
      <c r="F191" s="26"/>
      <c r="G191" s="28"/>
      <c r="H191" s="679"/>
      <c r="I191" s="679"/>
      <c r="J191" s="678"/>
      <c r="K191" s="678"/>
      <c r="L191" s="679"/>
      <c r="M191" s="679"/>
      <c r="N191" s="679"/>
      <c r="O191" s="679"/>
      <c r="P191" s="679"/>
      <c r="Q191" s="679"/>
      <c r="R191" s="679"/>
      <c r="S191" s="679"/>
      <c r="T191" s="679"/>
    </row>
    <row r="192" spans="1:20" ht="12.75" customHeight="1">
      <c r="A192" s="766"/>
      <c r="B192" s="508" t="s">
        <v>508</v>
      </c>
      <c r="C192" s="507" t="s">
        <v>516</v>
      </c>
      <c r="D192" s="26"/>
      <c r="E192" s="26">
        <v>242110</v>
      </c>
      <c r="F192" s="26">
        <v>242110</v>
      </c>
      <c r="G192" s="28">
        <f>ROUND(F192/E192*100,2)</f>
        <v>100</v>
      </c>
    </row>
    <row r="193" spans="1:20" ht="12.75" customHeight="1">
      <c r="A193" s="770" t="s">
        <v>531</v>
      </c>
      <c r="B193" s="770"/>
      <c r="C193" s="770"/>
      <c r="D193" s="34">
        <f>SUM(D194:D199)</f>
        <v>0</v>
      </c>
      <c r="E193" s="34">
        <f>SUM(E194:E199)</f>
        <v>0</v>
      </c>
      <c r="F193" s="34">
        <f>SUM(F194:F199)</f>
        <v>0</v>
      </c>
      <c r="G193" s="35"/>
    </row>
    <row r="194" spans="1:20">
      <c r="A194" s="766"/>
      <c r="B194" s="506">
        <v>104031</v>
      </c>
      <c r="C194" s="507" t="s">
        <v>524</v>
      </c>
      <c r="D194" s="26"/>
      <c r="E194" s="26"/>
      <c r="F194" s="26"/>
      <c r="G194" s="28"/>
    </row>
    <row r="195" spans="1:20" ht="12.75" customHeight="1">
      <c r="A195" s="766"/>
      <c r="B195" s="506">
        <v>104035</v>
      </c>
      <c r="C195" s="507" t="s">
        <v>525</v>
      </c>
      <c r="D195" s="26"/>
      <c r="E195" s="26"/>
      <c r="F195" s="26"/>
      <c r="G195" s="28"/>
    </row>
    <row r="196" spans="1:20" ht="12.75" customHeight="1">
      <c r="A196" s="766"/>
      <c r="B196" s="506">
        <v>104036</v>
      </c>
      <c r="C196" s="507" t="s">
        <v>526</v>
      </c>
      <c r="D196" s="26"/>
      <c r="E196" s="26"/>
      <c r="F196" s="26"/>
      <c r="G196" s="28"/>
    </row>
    <row r="197" spans="1:20" s="689" customFormat="1" ht="12.75" customHeight="1">
      <c r="A197" s="766"/>
      <c r="B197" s="506">
        <v>104037</v>
      </c>
      <c r="C197" s="507" t="s">
        <v>534</v>
      </c>
      <c r="D197" s="26"/>
      <c r="E197" s="26"/>
      <c r="F197" s="26"/>
      <c r="G197" s="28"/>
      <c r="H197" s="679"/>
      <c r="I197" s="679"/>
      <c r="J197" s="678"/>
      <c r="K197" s="678"/>
      <c r="L197" s="679"/>
      <c r="M197" s="679"/>
      <c r="N197" s="679"/>
      <c r="O197" s="679"/>
      <c r="P197" s="679"/>
      <c r="Q197" s="679"/>
      <c r="R197" s="679"/>
      <c r="S197" s="679"/>
      <c r="T197" s="679"/>
    </row>
    <row r="198" spans="1:20" ht="12.75" customHeight="1">
      <c r="A198" s="766"/>
      <c r="B198" s="508" t="s">
        <v>510</v>
      </c>
      <c r="C198" s="507" t="s">
        <v>533</v>
      </c>
      <c r="D198" s="26"/>
      <c r="E198" s="26"/>
      <c r="F198" s="26"/>
      <c r="G198" s="28"/>
    </row>
    <row r="199" spans="1:20" ht="12.75" customHeight="1">
      <c r="A199" s="766"/>
      <c r="B199" s="508" t="s">
        <v>508</v>
      </c>
      <c r="C199" s="507" t="s">
        <v>516</v>
      </c>
      <c r="D199" s="26"/>
      <c r="E199" s="26"/>
      <c r="F199" s="26"/>
      <c r="G199" s="28"/>
    </row>
    <row r="200" spans="1:20" ht="12.75" customHeight="1">
      <c r="A200" s="787"/>
      <c r="B200" s="773"/>
      <c r="C200" s="773"/>
      <c r="D200" s="773"/>
      <c r="E200" s="773"/>
      <c r="F200" s="773"/>
      <c r="G200" s="788"/>
    </row>
    <row r="201" spans="1:20" ht="12.75" customHeight="1">
      <c r="A201" s="787"/>
      <c r="B201" s="773"/>
      <c r="C201" s="773"/>
      <c r="D201" s="773"/>
      <c r="E201" s="773"/>
      <c r="F201" s="773"/>
      <c r="G201" s="788"/>
    </row>
    <row r="202" spans="1:20" ht="12.75" customHeight="1">
      <c r="A202" s="708"/>
      <c r="B202" s="682"/>
      <c r="C202" s="682"/>
      <c r="D202" s="682"/>
      <c r="E202" s="682"/>
      <c r="F202" s="682"/>
      <c r="G202" s="709"/>
    </row>
    <row r="203" spans="1:20" ht="12.75" customHeight="1">
      <c r="A203" s="708"/>
      <c r="B203" s="682"/>
      <c r="C203" s="682"/>
      <c r="D203" s="682"/>
      <c r="E203" s="682"/>
      <c r="F203" s="682"/>
      <c r="G203" s="709"/>
    </row>
    <row r="204" spans="1:20" ht="15.75">
      <c r="A204" s="761" t="s">
        <v>1004</v>
      </c>
      <c r="B204" s="761"/>
      <c r="C204" s="761"/>
      <c r="D204" s="38">
        <f>SUM(D206+D226)</f>
        <v>566895048</v>
      </c>
      <c r="E204" s="38">
        <f>SUM(E206+E226)</f>
        <v>594721356</v>
      </c>
      <c r="F204" s="38">
        <f>SUM(F206+F226)</f>
        <v>594721356</v>
      </c>
      <c r="G204" s="39">
        <f>ROUND(F204/E204*100,2)</f>
        <v>100</v>
      </c>
      <c r="H204" s="681"/>
    </row>
    <row r="205" spans="1:20">
      <c r="A205" s="764" t="s">
        <v>1</v>
      </c>
      <c r="B205" s="764"/>
      <c r="C205" s="764"/>
      <c r="D205" s="27">
        <f>SUM(D206)</f>
        <v>443155290</v>
      </c>
      <c r="E205" s="27">
        <f>SUM(E206)</f>
        <v>472921672</v>
      </c>
      <c r="F205" s="27">
        <f>SUM(F206)</f>
        <v>472921672</v>
      </c>
      <c r="G205" s="29">
        <f>ROUND(F205/E205*100,2)</f>
        <v>100</v>
      </c>
      <c r="H205" s="681"/>
    </row>
    <row r="206" spans="1:20" s="685" customFormat="1" ht="15.75">
      <c r="A206" s="765" t="s">
        <v>527</v>
      </c>
      <c r="B206" s="765"/>
      <c r="C206" s="765"/>
      <c r="D206" s="30">
        <f>SUM(D207:D225)</f>
        <v>443155290</v>
      </c>
      <c r="E206" s="30">
        <f>SUM(E207:E225)</f>
        <v>472921672</v>
      </c>
      <c r="F206" s="30">
        <f>SUM(F207:F225)</f>
        <v>472921672</v>
      </c>
      <c r="G206" s="31">
        <f>ROUND(F206/E206*100,2)</f>
        <v>100</v>
      </c>
      <c r="H206" s="701"/>
      <c r="I206" s="684"/>
      <c r="J206" s="683"/>
      <c r="K206" s="683"/>
      <c r="L206" s="684"/>
      <c r="M206" s="684"/>
      <c r="N206" s="684"/>
      <c r="O206" s="684"/>
      <c r="P206" s="684"/>
      <c r="Q206" s="684"/>
      <c r="R206" s="684"/>
      <c r="S206" s="684"/>
      <c r="T206" s="684"/>
    </row>
    <row r="207" spans="1:20" s="680" customFormat="1" ht="12.75" customHeight="1">
      <c r="A207" s="766"/>
      <c r="B207" s="508" t="s">
        <v>506</v>
      </c>
      <c r="C207" s="507" t="s">
        <v>512</v>
      </c>
      <c r="D207" s="26"/>
      <c r="E207" s="26"/>
      <c r="F207" s="26"/>
      <c r="G207" s="28"/>
      <c r="H207" s="679"/>
      <c r="I207" s="679"/>
      <c r="J207" s="678"/>
      <c r="K207" s="678"/>
      <c r="L207" s="679"/>
      <c r="M207" s="679"/>
      <c r="N207" s="679"/>
      <c r="O207" s="679"/>
      <c r="P207" s="679"/>
      <c r="Q207" s="679"/>
      <c r="R207" s="679"/>
      <c r="S207" s="679"/>
      <c r="T207" s="679"/>
    </row>
    <row r="208" spans="1:20" s="686" customFormat="1" ht="12.75" customHeight="1">
      <c r="A208" s="766"/>
      <c r="B208" s="508" t="s">
        <v>507</v>
      </c>
      <c r="C208" s="507" t="s">
        <v>517</v>
      </c>
      <c r="D208" s="26"/>
      <c r="E208" s="26"/>
      <c r="F208" s="26"/>
      <c r="G208" s="28"/>
      <c r="H208" s="679"/>
      <c r="I208" s="679"/>
      <c r="J208" s="678"/>
      <c r="K208" s="678"/>
      <c r="L208" s="679"/>
      <c r="M208" s="679"/>
      <c r="N208" s="679"/>
      <c r="O208" s="679"/>
      <c r="P208" s="679"/>
      <c r="Q208" s="679"/>
      <c r="R208" s="679"/>
      <c r="S208" s="679"/>
      <c r="T208" s="679"/>
    </row>
    <row r="209" spans="1:7" ht="12.75" customHeight="1">
      <c r="A209" s="766"/>
      <c r="B209" s="509" t="s">
        <v>508</v>
      </c>
      <c r="C209" s="510" t="s">
        <v>1191</v>
      </c>
      <c r="D209" s="26">
        <v>12066545</v>
      </c>
      <c r="E209" s="26">
        <v>12066545</v>
      </c>
      <c r="F209" s="26">
        <v>12066545</v>
      </c>
      <c r="G209" s="28">
        <f t="shared" ref="G209" si="10">ROUND(F209/E209*100,2)</f>
        <v>100</v>
      </c>
    </row>
    <row r="210" spans="1:7" ht="12.75" customHeight="1">
      <c r="A210" s="766"/>
      <c r="B210" s="509" t="s">
        <v>884</v>
      </c>
      <c r="C210" s="510" t="s">
        <v>1191</v>
      </c>
      <c r="D210" s="26"/>
      <c r="E210" s="26"/>
      <c r="F210" s="26"/>
      <c r="G210" s="28"/>
    </row>
    <row r="211" spans="1:7" ht="12.75" customHeight="1">
      <c r="A211" s="766"/>
      <c r="B211" s="509" t="s">
        <v>508</v>
      </c>
      <c r="C211" s="510" t="s">
        <v>962</v>
      </c>
      <c r="D211" s="26"/>
      <c r="E211" s="26"/>
      <c r="F211" s="26"/>
      <c r="G211" s="28"/>
    </row>
    <row r="212" spans="1:7" ht="12.75" customHeight="1">
      <c r="A212" s="766"/>
      <c r="B212" s="508" t="s">
        <v>513</v>
      </c>
      <c r="C212" s="507" t="s">
        <v>514</v>
      </c>
      <c r="D212" s="26"/>
      <c r="E212" s="26"/>
      <c r="F212" s="26"/>
      <c r="G212" s="28"/>
    </row>
    <row r="213" spans="1:7" ht="12.75" customHeight="1">
      <c r="A213" s="766"/>
      <c r="B213" s="508" t="s">
        <v>508</v>
      </c>
      <c r="C213" s="507" t="s">
        <v>516</v>
      </c>
      <c r="D213" s="26">
        <v>431088745</v>
      </c>
      <c r="E213" s="26">
        <v>460855127</v>
      </c>
      <c r="F213" s="26">
        <v>460855127</v>
      </c>
      <c r="G213" s="28">
        <f>ROUND(F213/E213*100,2)</f>
        <v>100</v>
      </c>
    </row>
    <row r="214" spans="1:7">
      <c r="A214" s="766"/>
      <c r="B214" s="508" t="s">
        <v>508</v>
      </c>
      <c r="C214" s="507" t="s">
        <v>874</v>
      </c>
      <c r="D214" s="26"/>
      <c r="E214" s="26"/>
      <c r="F214" s="26"/>
      <c r="G214" s="28"/>
    </row>
    <row r="215" spans="1:7">
      <c r="A215" s="766"/>
      <c r="B215" s="508" t="s">
        <v>509</v>
      </c>
      <c r="C215" s="507" t="s">
        <v>511</v>
      </c>
      <c r="D215" s="26"/>
      <c r="E215" s="26"/>
      <c r="F215" s="26"/>
      <c r="G215" s="28"/>
    </row>
    <row r="216" spans="1:7" ht="12.75" customHeight="1">
      <c r="A216" s="766"/>
      <c r="B216" s="506">
        <v>107052</v>
      </c>
      <c r="C216" s="507" t="s">
        <v>518</v>
      </c>
      <c r="D216" s="26"/>
      <c r="E216" s="26"/>
      <c r="F216" s="26"/>
      <c r="G216" s="28"/>
    </row>
    <row r="217" spans="1:7" ht="12.75" customHeight="1">
      <c r="A217" s="766"/>
      <c r="B217" s="506">
        <v>107051</v>
      </c>
      <c r="C217" s="507" t="s">
        <v>194</v>
      </c>
      <c r="D217" s="26"/>
      <c r="E217" s="26"/>
      <c r="F217" s="26"/>
      <c r="G217" s="28"/>
    </row>
    <row r="218" spans="1:7" ht="12.75" customHeight="1">
      <c r="A218" s="766"/>
      <c r="B218" s="506">
        <v>107053</v>
      </c>
      <c r="C218" s="507" t="s">
        <v>519</v>
      </c>
      <c r="D218" s="26"/>
      <c r="E218" s="26"/>
      <c r="F218" s="26"/>
      <c r="G218" s="28"/>
    </row>
    <row r="219" spans="1:7" ht="12.75" customHeight="1">
      <c r="A219" s="766"/>
      <c r="B219" s="506">
        <v>102031</v>
      </c>
      <c r="C219" s="507" t="s">
        <v>520</v>
      </c>
      <c r="D219" s="26"/>
      <c r="E219" s="26"/>
      <c r="F219" s="26"/>
      <c r="G219" s="28"/>
    </row>
    <row r="220" spans="1:7" ht="12.75" customHeight="1">
      <c r="A220" s="766"/>
      <c r="B220" s="506">
        <v>107013</v>
      </c>
      <c r="C220" s="507" t="s">
        <v>521</v>
      </c>
      <c r="D220" s="26"/>
      <c r="E220" s="26"/>
      <c r="F220" s="26"/>
      <c r="G220" s="28"/>
    </row>
    <row r="221" spans="1:7" ht="12.75" customHeight="1">
      <c r="A221" s="766"/>
      <c r="B221" s="506">
        <v>104042</v>
      </c>
      <c r="C221" s="507" t="s">
        <v>522</v>
      </c>
      <c r="D221" s="26"/>
      <c r="E221" s="26"/>
      <c r="F221" s="26"/>
      <c r="G221" s="28"/>
    </row>
    <row r="222" spans="1:7" ht="12.75" customHeight="1">
      <c r="A222" s="766"/>
      <c r="B222" s="506">
        <v>104043</v>
      </c>
      <c r="C222" s="507" t="s">
        <v>523</v>
      </c>
      <c r="D222" s="26"/>
      <c r="E222" s="26"/>
      <c r="F222" s="26"/>
      <c r="G222" s="28"/>
    </row>
    <row r="223" spans="1:7" ht="12.75" customHeight="1">
      <c r="A223" s="766"/>
      <c r="B223" s="506">
        <v>104031</v>
      </c>
      <c r="C223" s="507" t="s">
        <v>524</v>
      </c>
      <c r="D223" s="26"/>
      <c r="E223" s="26"/>
      <c r="F223" s="26"/>
      <c r="G223" s="28"/>
    </row>
    <row r="224" spans="1:7" ht="12.75" customHeight="1">
      <c r="A224" s="766"/>
      <c r="B224" s="506">
        <v>104035</v>
      </c>
      <c r="C224" s="507" t="s">
        <v>525</v>
      </c>
      <c r="D224" s="26"/>
      <c r="E224" s="26"/>
      <c r="F224" s="26"/>
      <c r="G224" s="28"/>
    </row>
    <row r="225" spans="1:20" ht="12.75" customHeight="1">
      <c r="A225" s="766"/>
      <c r="B225" s="506">
        <v>104036</v>
      </c>
      <c r="C225" s="507" t="s">
        <v>526</v>
      </c>
      <c r="D225" s="26"/>
      <c r="E225" s="26"/>
      <c r="F225" s="26"/>
      <c r="G225" s="28"/>
    </row>
    <row r="226" spans="1:20" ht="12.75" customHeight="1">
      <c r="A226" s="767" t="s">
        <v>528</v>
      </c>
      <c r="B226" s="767"/>
      <c r="C226" s="767"/>
      <c r="D226" s="27">
        <f>SUM(D227+D236+D243)</f>
        <v>123739758</v>
      </c>
      <c r="E226" s="27">
        <f>SUM(E227+E236+E243)</f>
        <v>121799684</v>
      </c>
      <c r="F226" s="27">
        <f>SUM(F227+F236+F243)</f>
        <v>121799684</v>
      </c>
      <c r="G226" s="29">
        <f>ROUND(F226/E226*100,2)</f>
        <v>100</v>
      </c>
    </row>
    <row r="227" spans="1:20" ht="12.75" customHeight="1">
      <c r="A227" s="768" t="s">
        <v>530</v>
      </c>
      <c r="B227" s="768"/>
      <c r="C227" s="768"/>
      <c r="D227" s="465">
        <f>SUM(D228:D235)</f>
        <v>44548805</v>
      </c>
      <c r="E227" s="32">
        <f>SUM(E228:E235)</f>
        <v>41529651</v>
      </c>
      <c r="F227" s="32">
        <f>SUM(F228:F235)</f>
        <v>41529651</v>
      </c>
      <c r="G227" s="33">
        <f>ROUND(F227/E227*100,2)</f>
        <v>100</v>
      </c>
    </row>
    <row r="228" spans="1:20" ht="12.75" customHeight="1">
      <c r="A228" s="766"/>
      <c r="B228" s="506">
        <v>107052</v>
      </c>
      <c r="C228" s="507" t="s">
        <v>518</v>
      </c>
      <c r="D228" s="26"/>
      <c r="E228" s="26"/>
      <c r="F228" s="26"/>
      <c r="G228" s="28"/>
    </row>
    <row r="229" spans="1:20" s="680" customFormat="1" ht="12.75" customHeight="1">
      <c r="A229" s="766"/>
      <c r="B229" s="506">
        <v>107053</v>
      </c>
      <c r="C229" s="507" t="s">
        <v>519</v>
      </c>
      <c r="D229" s="26"/>
      <c r="E229" s="26"/>
      <c r="F229" s="26"/>
      <c r="G229" s="28"/>
      <c r="H229" s="679"/>
      <c r="I229" s="679"/>
      <c r="J229" s="678"/>
      <c r="K229" s="678"/>
      <c r="L229" s="679"/>
      <c r="M229" s="679"/>
      <c r="N229" s="679"/>
      <c r="O229" s="679"/>
      <c r="P229" s="679"/>
      <c r="Q229" s="679"/>
      <c r="R229" s="679"/>
      <c r="S229" s="679"/>
      <c r="T229" s="679"/>
    </row>
    <row r="230" spans="1:20" s="687" customFormat="1" ht="12.75" customHeight="1">
      <c r="A230" s="766"/>
      <c r="B230" s="506">
        <v>107051</v>
      </c>
      <c r="C230" s="507" t="s">
        <v>194</v>
      </c>
      <c r="D230" s="26"/>
      <c r="E230" s="26"/>
      <c r="F230" s="26"/>
      <c r="G230" s="28"/>
      <c r="H230" s="679"/>
      <c r="I230" s="679"/>
      <c r="J230" s="678"/>
      <c r="K230" s="678"/>
      <c r="L230" s="679"/>
      <c r="M230" s="679"/>
      <c r="N230" s="679"/>
      <c r="O230" s="679"/>
      <c r="P230" s="679"/>
      <c r="Q230" s="679"/>
      <c r="R230" s="679"/>
      <c r="S230" s="679"/>
      <c r="T230" s="679"/>
    </row>
    <row r="231" spans="1:20" ht="12.75" customHeight="1">
      <c r="A231" s="766"/>
      <c r="B231" s="506">
        <v>102031</v>
      </c>
      <c r="C231" s="507" t="s">
        <v>520</v>
      </c>
      <c r="D231" s="26"/>
      <c r="E231" s="26"/>
      <c r="F231" s="26"/>
      <c r="G231" s="28"/>
    </row>
    <row r="232" spans="1:20" ht="12.75" customHeight="1">
      <c r="A232" s="766"/>
      <c r="B232" s="506">
        <v>102032</v>
      </c>
      <c r="C232" s="507" t="s">
        <v>883</v>
      </c>
      <c r="D232" s="26"/>
      <c r="E232" s="26"/>
      <c r="F232" s="26"/>
      <c r="G232" s="28"/>
    </row>
    <row r="233" spans="1:20" ht="12.75" customHeight="1">
      <c r="A233" s="766"/>
      <c r="B233" s="506">
        <v>107013</v>
      </c>
      <c r="C233" s="507" t="s">
        <v>532</v>
      </c>
      <c r="D233" s="26"/>
      <c r="E233" s="26"/>
      <c r="F233" s="26"/>
      <c r="G233" s="28"/>
    </row>
    <row r="234" spans="1:20" ht="12.75" customHeight="1">
      <c r="A234" s="766"/>
      <c r="B234" s="508" t="s">
        <v>510</v>
      </c>
      <c r="C234" s="507" t="s">
        <v>533</v>
      </c>
      <c r="D234" s="26"/>
      <c r="E234" s="26"/>
      <c r="F234" s="26"/>
      <c r="G234" s="28"/>
    </row>
    <row r="235" spans="1:20" ht="12.75" customHeight="1">
      <c r="A235" s="766"/>
      <c r="B235" s="508" t="s">
        <v>508</v>
      </c>
      <c r="C235" s="507" t="s">
        <v>516</v>
      </c>
      <c r="D235" s="711">
        <v>44548805</v>
      </c>
      <c r="E235" s="26">
        <v>41529651</v>
      </c>
      <c r="F235" s="26">
        <v>41529651</v>
      </c>
      <c r="G235" s="28">
        <f>ROUND(F235/E235*100,2)</f>
        <v>100</v>
      </c>
    </row>
    <row r="236" spans="1:20" ht="12.75" customHeight="1">
      <c r="A236" s="769" t="s">
        <v>529</v>
      </c>
      <c r="B236" s="769"/>
      <c r="C236" s="769"/>
      <c r="D236" s="36">
        <f>SUM(D237:D242)</f>
        <v>65528972</v>
      </c>
      <c r="E236" s="36">
        <f>SUM(E237:E242)</f>
        <v>66715959</v>
      </c>
      <c r="F236" s="36">
        <f>SUM(F237:F242)</f>
        <v>66715959</v>
      </c>
      <c r="G236" s="712">
        <f>ROUND(F236/E236*100,2)</f>
        <v>100</v>
      </c>
    </row>
    <row r="237" spans="1:20" ht="12.75" customHeight="1">
      <c r="A237" s="766"/>
      <c r="B237" s="506">
        <v>104042</v>
      </c>
      <c r="C237" s="507" t="s">
        <v>522</v>
      </c>
      <c r="D237" s="26"/>
      <c r="E237" s="26"/>
      <c r="F237" s="26"/>
      <c r="G237" s="28"/>
    </row>
    <row r="238" spans="1:20" ht="12.75" customHeight="1">
      <c r="A238" s="766"/>
      <c r="B238" s="506">
        <v>104043</v>
      </c>
      <c r="C238" s="507" t="s">
        <v>523</v>
      </c>
      <c r="D238" s="26"/>
      <c r="E238" s="26"/>
      <c r="F238" s="26"/>
      <c r="G238" s="28"/>
    </row>
    <row r="239" spans="1:20" s="688" customFormat="1" ht="12.75" customHeight="1">
      <c r="A239" s="766"/>
      <c r="B239" s="508" t="s">
        <v>508</v>
      </c>
      <c r="C239" s="510" t="s">
        <v>1191</v>
      </c>
      <c r="D239" s="26">
        <v>567611</v>
      </c>
      <c r="E239" s="26">
        <v>3706868</v>
      </c>
      <c r="F239" s="713">
        <v>3706868</v>
      </c>
      <c r="G239" s="28">
        <f>ROUND(F239/E239*100,2)</f>
        <v>100</v>
      </c>
      <c r="H239" s="679"/>
      <c r="I239" s="679"/>
      <c r="J239" s="678"/>
      <c r="K239" s="678"/>
      <c r="L239" s="679"/>
      <c r="M239" s="679"/>
      <c r="N239" s="679"/>
      <c r="O239" s="679"/>
      <c r="P239" s="679"/>
      <c r="Q239" s="679"/>
      <c r="R239" s="679"/>
      <c r="S239" s="679"/>
      <c r="T239" s="679"/>
    </row>
    <row r="240" spans="1:20" s="688" customFormat="1" ht="12.75" customHeight="1">
      <c r="A240" s="766"/>
      <c r="B240" s="508" t="s">
        <v>848</v>
      </c>
      <c r="C240" s="510" t="s">
        <v>1191</v>
      </c>
      <c r="D240" s="26"/>
      <c r="E240" s="26"/>
      <c r="F240" s="713"/>
      <c r="G240" s="28"/>
      <c r="H240" s="679"/>
      <c r="I240" s="679"/>
      <c r="J240" s="678"/>
      <c r="K240" s="678"/>
      <c r="L240" s="679"/>
      <c r="M240" s="679"/>
      <c r="N240" s="679"/>
      <c r="O240" s="679"/>
      <c r="P240" s="679"/>
      <c r="Q240" s="679"/>
      <c r="R240" s="679"/>
      <c r="S240" s="679"/>
      <c r="T240" s="679"/>
    </row>
    <row r="241" spans="1:20" ht="12.75" customHeight="1">
      <c r="A241" s="766"/>
      <c r="B241" s="508" t="s">
        <v>510</v>
      </c>
      <c r="C241" s="507" t="s">
        <v>533</v>
      </c>
      <c r="D241" s="26"/>
      <c r="E241" s="26"/>
      <c r="F241" s="26"/>
      <c r="G241" s="28"/>
    </row>
    <row r="242" spans="1:20" ht="12.75" customHeight="1">
      <c r="A242" s="766"/>
      <c r="B242" s="508" t="s">
        <v>508</v>
      </c>
      <c r="C242" s="507" t="s">
        <v>516</v>
      </c>
      <c r="D242" s="26">
        <v>64961361</v>
      </c>
      <c r="E242" s="26">
        <v>63009091</v>
      </c>
      <c r="F242" s="26">
        <v>63009091</v>
      </c>
      <c r="G242" s="28">
        <f>ROUND(F242/E242*100,2)</f>
        <v>100</v>
      </c>
    </row>
    <row r="243" spans="1:20">
      <c r="A243" s="770" t="s">
        <v>531</v>
      </c>
      <c r="B243" s="770"/>
      <c r="C243" s="770"/>
      <c r="D243" s="34">
        <f>SUM(D244:D249)</f>
        <v>13661981</v>
      </c>
      <c r="E243" s="34">
        <f>SUM(E244:E249)</f>
        <v>13554074</v>
      </c>
      <c r="F243" s="34">
        <f>SUM(F244:F249)</f>
        <v>13554074</v>
      </c>
      <c r="G243" s="35">
        <f>ROUND(F243/E243*100,2)</f>
        <v>100</v>
      </c>
    </row>
    <row r="244" spans="1:20" ht="12.75" customHeight="1">
      <c r="A244" s="766"/>
      <c r="B244" s="506">
        <v>104031</v>
      </c>
      <c r="C244" s="507" t="s">
        <v>524</v>
      </c>
      <c r="D244" s="26"/>
      <c r="E244" s="26"/>
      <c r="F244" s="26"/>
      <c r="G244" s="28"/>
    </row>
    <row r="245" spans="1:20" ht="12.75" customHeight="1">
      <c r="A245" s="766"/>
      <c r="B245" s="506">
        <v>104035</v>
      </c>
      <c r="C245" s="507" t="s">
        <v>525</v>
      </c>
      <c r="D245" s="26"/>
      <c r="E245" s="26"/>
      <c r="F245" s="26"/>
      <c r="G245" s="28"/>
    </row>
    <row r="246" spans="1:20" s="689" customFormat="1" ht="12.75" customHeight="1">
      <c r="A246" s="766"/>
      <c r="B246" s="506">
        <v>104036</v>
      </c>
      <c r="C246" s="507" t="s">
        <v>526</v>
      </c>
      <c r="D246" s="26"/>
      <c r="E246" s="26"/>
      <c r="F246" s="26"/>
      <c r="G246" s="28"/>
      <c r="H246" s="679"/>
      <c r="I246" s="679"/>
      <c r="J246" s="678">
        <f>SUM(J230:J245)</f>
        <v>0</v>
      </c>
      <c r="K246" s="678"/>
      <c r="L246" s="679"/>
      <c r="M246" s="679"/>
      <c r="N246" s="679"/>
      <c r="O246" s="679"/>
      <c r="P246" s="679"/>
      <c r="Q246" s="679"/>
      <c r="R246" s="679"/>
      <c r="S246" s="679"/>
      <c r="T246" s="679"/>
    </row>
    <row r="247" spans="1:20" ht="12.75" customHeight="1">
      <c r="A247" s="766"/>
      <c r="B247" s="506">
        <v>104037</v>
      </c>
      <c r="C247" s="507" t="s">
        <v>534</v>
      </c>
      <c r="D247" s="26"/>
      <c r="E247" s="26"/>
      <c r="F247" s="26"/>
      <c r="G247" s="28"/>
    </row>
    <row r="248" spans="1:20" ht="12.75" customHeight="1">
      <c r="A248" s="766"/>
      <c r="B248" s="508" t="s">
        <v>510</v>
      </c>
      <c r="C248" s="507" t="s">
        <v>533</v>
      </c>
      <c r="D248" s="26"/>
      <c r="E248" s="26"/>
      <c r="F248" s="26"/>
      <c r="G248" s="28"/>
    </row>
    <row r="249" spans="1:20" ht="12.75" customHeight="1">
      <c r="A249" s="766"/>
      <c r="B249" s="508" t="s">
        <v>508</v>
      </c>
      <c r="C249" s="507" t="s">
        <v>516</v>
      </c>
      <c r="D249" s="26">
        <v>13661981</v>
      </c>
      <c r="E249" s="26">
        <v>13554074</v>
      </c>
      <c r="F249" s="26">
        <v>13554074</v>
      </c>
      <c r="G249" s="28">
        <f>ROUND(F249/E249*100,2)</f>
        <v>100</v>
      </c>
    </row>
    <row r="250" spans="1:20" ht="12.75" customHeight="1">
      <c r="A250" s="700"/>
      <c r="B250" s="682"/>
      <c r="C250" s="681"/>
      <c r="D250" s="681"/>
      <c r="E250" s="681"/>
      <c r="F250" s="681"/>
      <c r="G250" s="714"/>
    </row>
    <row r="251" spans="1:20" ht="12.75" customHeight="1">
      <c r="A251" s="700"/>
      <c r="B251" s="682"/>
      <c r="C251" s="681"/>
      <c r="D251" s="681"/>
      <c r="E251" s="681"/>
      <c r="F251" s="681"/>
      <c r="G251" s="714"/>
    </row>
    <row r="252" spans="1:20" ht="20.25" customHeight="1">
      <c r="A252" s="761" t="s">
        <v>1037</v>
      </c>
      <c r="B252" s="761"/>
      <c r="C252" s="761"/>
      <c r="D252" s="38">
        <f>SUM(D254+D275)</f>
        <v>86041253</v>
      </c>
      <c r="E252" s="38">
        <f>SUM(E254+E275)</f>
        <v>86042662</v>
      </c>
      <c r="F252" s="38">
        <f>SUM(F254+F275)</f>
        <v>86042662</v>
      </c>
      <c r="G252" s="39">
        <f>ROUND(F252/E252*100,2)</f>
        <v>100</v>
      </c>
    </row>
    <row r="253" spans="1:20" ht="12.75" customHeight="1">
      <c r="A253" s="764" t="s">
        <v>1</v>
      </c>
      <c r="B253" s="764"/>
      <c r="C253" s="764"/>
      <c r="D253" s="27">
        <f>SUM(D254)</f>
        <v>26897792</v>
      </c>
      <c r="E253" s="27">
        <f>SUM(E254)</f>
        <v>26897792</v>
      </c>
      <c r="F253" s="27">
        <f>SUM(F254)</f>
        <v>26897792</v>
      </c>
      <c r="G253" s="29">
        <f>ROUND(F253/E253*100,2)</f>
        <v>100</v>
      </c>
    </row>
    <row r="254" spans="1:20" ht="12.75" customHeight="1">
      <c r="A254" s="765" t="s">
        <v>527</v>
      </c>
      <c r="B254" s="765"/>
      <c r="C254" s="765"/>
      <c r="D254" s="30">
        <f>SUM(D255:D274)</f>
        <v>26897792</v>
      </c>
      <c r="E254" s="30">
        <f>SUM(E255:E274)</f>
        <v>26897792</v>
      </c>
      <c r="F254" s="30">
        <f>SUM(F255:F274)</f>
        <v>26897792</v>
      </c>
      <c r="G254" s="31">
        <f>ROUND(F254/E254*100,2)</f>
        <v>100</v>
      </c>
    </row>
    <row r="255" spans="1:20" s="685" customFormat="1" ht="15.75">
      <c r="A255" s="766"/>
      <c r="B255" s="508" t="s">
        <v>506</v>
      </c>
      <c r="C255" s="507" t="s">
        <v>512</v>
      </c>
      <c r="D255" s="26"/>
      <c r="E255" s="26"/>
      <c r="F255" s="26"/>
      <c r="G255" s="28"/>
      <c r="H255" s="701"/>
      <c r="I255" s="684"/>
      <c r="J255" s="683"/>
      <c r="K255" s="683"/>
      <c r="L255" s="684"/>
      <c r="M255" s="684"/>
      <c r="N255" s="684"/>
      <c r="O255" s="684"/>
      <c r="P255" s="684"/>
      <c r="Q255" s="684"/>
      <c r="R255" s="684"/>
      <c r="S255" s="684"/>
      <c r="T255" s="684"/>
    </row>
    <row r="256" spans="1:20" s="680" customFormat="1" ht="12.75" customHeight="1">
      <c r="A256" s="766"/>
      <c r="B256" s="508" t="s">
        <v>507</v>
      </c>
      <c r="C256" s="507" t="s">
        <v>517</v>
      </c>
      <c r="D256" s="26"/>
      <c r="E256" s="26"/>
      <c r="F256" s="26"/>
      <c r="G256" s="28"/>
      <c r="H256" s="679"/>
      <c r="I256" s="679"/>
      <c r="J256" s="678"/>
      <c r="K256" s="678"/>
      <c r="L256" s="679"/>
      <c r="M256" s="679"/>
      <c r="N256" s="679"/>
      <c r="O256" s="679"/>
      <c r="P256" s="679"/>
      <c r="Q256" s="679"/>
      <c r="R256" s="679"/>
      <c r="S256" s="679"/>
      <c r="T256" s="679"/>
    </row>
    <row r="257" spans="1:20" s="686" customFormat="1" ht="12.75" customHeight="1">
      <c r="A257" s="766"/>
      <c r="B257" s="506">
        <v>107052</v>
      </c>
      <c r="C257" s="507" t="s">
        <v>515</v>
      </c>
      <c r="D257" s="26"/>
      <c r="E257" s="26"/>
      <c r="F257" s="26"/>
      <c r="G257" s="28"/>
      <c r="H257" s="679"/>
      <c r="I257" s="679"/>
      <c r="J257" s="678"/>
      <c r="K257" s="678"/>
      <c r="L257" s="679"/>
      <c r="M257" s="679"/>
      <c r="N257" s="679"/>
      <c r="O257" s="679"/>
      <c r="P257" s="679"/>
      <c r="Q257" s="679"/>
      <c r="R257" s="679"/>
      <c r="S257" s="679"/>
      <c r="T257" s="679"/>
    </row>
    <row r="258" spans="1:20" ht="12.75" customHeight="1">
      <c r="A258" s="766"/>
      <c r="B258" s="508" t="s">
        <v>513</v>
      </c>
      <c r="C258" s="507" t="s">
        <v>514</v>
      </c>
      <c r="D258" s="26"/>
      <c r="E258" s="26"/>
      <c r="F258" s="26"/>
      <c r="G258" s="28"/>
    </row>
    <row r="259" spans="1:20" ht="12.75" customHeight="1">
      <c r="A259" s="766"/>
      <c r="B259" s="508" t="s">
        <v>508</v>
      </c>
      <c r="C259" s="507" t="s">
        <v>516</v>
      </c>
      <c r="D259" s="26">
        <v>10643839</v>
      </c>
      <c r="E259" s="26">
        <v>10643839</v>
      </c>
      <c r="F259" s="26">
        <v>10643839</v>
      </c>
      <c r="G259" s="28">
        <f>ROUND(F259/E259*100,2)</f>
        <v>100</v>
      </c>
    </row>
    <row r="260" spans="1:20" ht="12.75" customHeight="1">
      <c r="A260" s="766"/>
      <c r="B260" s="508" t="s">
        <v>508</v>
      </c>
      <c r="C260" s="510" t="s">
        <v>1191</v>
      </c>
      <c r="D260" s="26">
        <v>15754704</v>
      </c>
      <c r="E260" s="26">
        <v>15754704</v>
      </c>
      <c r="F260" s="26">
        <v>15754704</v>
      </c>
      <c r="G260" s="28">
        <f>ROUND(F260/E260*100,2)</f>
        <v>100</v>
      </c>
    </row>
    <row r="261" spans="1:20" ht="12.75" customHeight="1">
      <c r="A261" s="766"/>
      <c r="B261" s="509" t="s">
        <v>508</v>
      </c>
      <c r="C261" s="510" t="s">
        <v>962</v>
      </c>
      <c r="D261" s="26">
        <v>405251</v>
      </c>
      <c r="E261" s="26">
        <v>405251</v>
      </c>
      <c r="F261" s="26">
        <v>405251</v>
      </c>
      <c r="G261" s="28">
        <f>ROUND(F261/E261*100,2)</f>
        <v>100</v>
      </c>
    </row>
    <row r="262" spans="1:20" ht="12.75" customHeight="1">
      <c r="A262" s="766"/>
      <c r="B262" s="508" t="s">
        <v>508</v>
      </c>
      <c r="C262" s="507" t="s">
        <v>874</v>
      </c>
      <c r="D262" s="26">
        <v>93998</v>
      </c>
      <c r="E262" s="26">
        <v>93998</v>
      </c>
      <c r="F262" s="26">
        <v>93998</v>
      </c>
      <c r="G262" s="28">
        <f>ROUND(F262/E262*100,2)</f>
        <v>100</v>
      </c>
    </row>
    <row r="263" spans="1:20">
      <c r="A263" s="766"/>
      <c r="B263" s="508" t="s">
        <v>509</v>
      </c>
      <c r="C263" s="507" t="s">
        <v>511</v>
      </c>
      <c r="D263" s="26"/>
      <c r="E263" s="26"/>
      <c r="F263" s="26"/>
      <c r="G263" s="28"/>
    </row>
    <row r="264" spans="1:20">
      <c r="A264" s="766"/>
      <c r="B264" s="506">
        <v>107052</v>
      </c>
      <c r="C264" s="507" t="s">
        <v>518</v>
      </c>
      <c r="D264" s="26"/>
      <c r="E264" s="26"/>
      <c r="F264" s="26"/>
      <c r="G264" s="28"/>
    </row>
    <row r="265" spans="1:20" ht="12.75" customHeight="1">
      <c r="A265" s="766"/>
      <c r="B265" s="506">
        <v>107051</v>
      </c>
      <c r="C265" s="507" t="s">
        <v>194</v>
      </c>
      <c r="D265" s="26"/>
      <c r="E265" s="26"/>
      <c r="F265" s="26"/>
      <c r="G265" s="28"/>
    </row>
    <row r="266" spans="1:20" ht="12.75" customHeight="1">
      <c r="A266" s="766"/>
      <c r="B266" s="506">
        <v>107053</v>
      </c>
      <c r="C266" s="507" t="s">
        <v>519</v>
      </c>
      <c r="D266" s="26"/>
      <c r="E266" s="26"/>
      <c r="F266" s="26"/>
      <c r="G266" s="28"/>
    </row>
    <row r="267" spans="1:20" ht="12.75" customHeight="1">
      <c r="A267" s="766"/>
      <c r="B267" s="506">
        <v>102031</v>
      </c>
      <c r="C267" s="507" t="s">
        <v>520</v>
      </c>
      <c r="D267" s="26"/>
      <c r="E267" s="26"/>
      <c r="F267" s="26"/>
      <c r="G267" s="28"/>
    </row>
    <row r="268" spans="1:20" ht="12.75" customHeight="1">
      <c r="A268" s="766"/>
      <c r="B268" s="506">
        <v>107013</v>
      </c>
      <c r="C268" s="507" t="s">
        <v>521</v>
      </c>
      <c r="D268" s="26"/>
      <c r="E268" s="26"/>
      <c r="F268" s="26"/>
      <c r="G268" s="28"/>
    </row>
    <row r="269" spans="1:20" ht="12.75" customHeight="1">
      <c r="A269" s="766"/>
      <c r="B269" s="506">
        <v>104042</v>
      </c>
      <c r="C269" s="507" t="s">
        <v>522</v>
      </c>
      <c r="D269" s="26"/>
      <c r="E269" s="26"/>
      <c r="F269" s="26"/>
      <c r="G269" s="28"/>
    </row>
    <row r="270" spans="1:20" ht="12.75" customHeight="1">
      <c r="A270" s="766"/>
      <c r="B270" s="506">
        <v>104043</v>
      </c>
      <c r="C270" s="507" t="s">
        <v>522</v>
      </c>
      <c r="D270" s="26"/>
      <c r="E270" s="26"/>
      <c r="F270" s="26"/>
      <c r="G270" s="28"/>
    </row>
    <row r="271" spans="1:20" ht="12.75" customHeight="1">
      <c r="A271" s="766"/>
      <c r="B271" s="506">
        <v>104043</v>
      </c>
      <c r="C271" s="507" t="s">
        <v>523</v>
      </c>
      <c r="D271" s="26"/>
      <c r="E271" s="26"/>
      <c r="F271" s="26"/>
      <c r="G271" s="28"/>
    </row>
    <row r="272" spans="1:20" ht="12.75" customHeight="1">
      <c r="A272" s="766"/>
      <c r="B272" s="506">
        <v>104031</v>
      </c>
      <c r="C272" s="507" t="s">
        <v>524</v>
      </c>
      <c r="D272" s="26"/>
      <c r="E272" s="26"/>
      <c r="F272" s="26"/>
      <c r="G272" s="28"/>
    </row>
    <row r="273" spans="1:20" ht="12.75" customHeight="1">
      <c r="A273" s="766"/>
      <c r="B273" s="506">
        <v>104035</v>
      </c>
      <c r="C273" s="507" t="s">
        <v>525</v>
      </c>
      <c r="D273" s="26"/>
      <c r="E273" s="26"/>
      <c r="F273" s="26"/>
      <c r="G273" s="28"/>
    </row>
    <row r="274" spans="1:20" ht="12.75" customHeight="1">
      <c r="A274" s="766"/>
      <c r="B274" s="506">
        <v>104036</v>
      </c>
      <c r="C274" s="507" t="s">
        <v>526</v>
      </c>
      <c r="D274" s="26"/>
      <c r="E274" s="26"/>
      <c r="F274" s="26"/>
      <c r="G274" s="28"/>
    </row>
    <row r="275" spans="1:20" ht="12.75" customHeight="1">
      <c r="A275" s="767" t="s">
        <v>528</v>
      </c>
      <c r="B275" s="767"/>
      <c r="C275" s="767"/>
      <c r="D275" s="27">
        <f>SUM(D276+D285+D292)</f>
        <v>59143461</v>
      </c>
      <c r="E275" s="27">
        <f>SUM(E276+E285+E292)</f>
        <v>59144870</v>
      </c>
      <c r="F275" s="27">
        <f>SUM(F276+F285+F292)</f>
        <v>59144870</v>
      </c>
      <c r="G275" s="29">
        <f>ROUND(F275/E275*100,2)</f>
        <v>100</v>
      </c>
    </row>
    <row r="276" spans="1:20" ht="12.75" customHeight="1">
      <c r="A276" s="768" t="s">
        <v>530</v>
      </c>
      <c r="B276" s="768"/>
      <c r="C276" s="768"/>
      <c r="D276" s="32">
        <f>SUM(D277:D284)</f>
        <v>28978829</v>
      </c>
      <c r="E276" s="32">
        <f>SUM(E277:E284)</f>
        <v>28978829</v>
      </c>
      <c r="F276" s="32">
        <f>SUM(F277:F284)</f>
        <v>28978829</v>
      </c>
      <c r="G276" s="33">
        <f>ROUND(F276/E276*100,2)</f>
        <v>100</v>
      </c>
    </row>
    <row r="277" spans="1:20" ht="12.75" customHeight="1">
      <c r="A277" s="766"/>
      <c r="B277" s="506">
        <v>107052</v>
      </c>
      <c r="C277" s="507" t="s">
        <v>518</v>
      </c>
      <c r="D277" s="26"/>
      <c r="E277" s="26"/>
      <c r="F277" s="26"/>
      <c r="G277" s="28"/>
    </row>
    <row r="278" spans="1:20" s="680" customFormat="1" ht="12.75" customHeight="1">
      <c r="A278" s="766"/>
      <c r="B278" s="506">
        <v>107053</v>
      </c>
      <c r="C278" s="507" t="s">
        <v>519</v>
      </c>
      <c r="D278" s="26"/>
      <c r="E278" s="26"/>
      <c r="F278" s="26"/>
      <c r="G278" s="28"/>
      <c r="H278" s="679"/>
      <c r="I278" s="679"/>
      <c r="J278" s="678"/>
      <c r="K278" s="678"/>
      <c r="L278" s="679"/>
      <c r="M278" s="679"/>
      <c r="N278" s="679"/>
      <c r="O278" s="679"/>
      <c r="P278" s="679"/>
      <c r="Q278" s="679"/>
      <c r="R278" s="679"/>
      <c r="S278" s="679"/>
      <c r="T278" s="679"/>
    </row>
    <row r="279" spans="1:20" s="687" customFormat="1" ht="12.75" customHeight="1">
      <c r="A279" s="766"/>
      <c r="B279" s="506">
        <v>107051</v>
      </c>
      <c r="C279" s="507" t="s">
        <v>194</v>
      </c>
      <c r="D279" s="26"/>
      <c r="E279" s="26"/>
      <c r="F279" s="26"/>
      <c r="G279" s="28"/>
      <c r="H279" s="679"/>
      <c r="I279" s="679"/>
      <c r="J279" s="678"/>
      <c r="K279" s="678"/>
      <c r="L279" s="679"/>
      <c r="M279" s="679"/>
      <c r="N279" s="679"/>
      <c r="O279" s="679"/>
      <c r="P279" s="679"/>
      <c r="Q279" s="679"/>
      <c r="R279" s="679"/>
      <c r="S279" s="679"/>
      <c r="T279" s="679"/>
    </row>
    <row r="280" spans="1:20" ht="12.75" customHeight="1">
      <c r="A280" s="766"/>
      <c r="B280" s="506">
        <v>102031</v>
      </c>
      <c r="C280" s="507" t="s">
        <v>520</v>
      </c>
      <c r="D280" s="26"/>
      <c r="E280" s="26"/>
      <c r="F280" s="26"/>
      <c r="G280" s="28"/>
    </row>
    <row r="281" spans="1:20" ht="12.75" customHeight="1">
      <c r="A281" s="766"/>
      <c r="B281" s="506">
        <v>102032</v>
      </c>
      <c r="C281" s="507" t="s">
        <v>883</v>
      </c>
      <c r="D281" s="26"/>
      <c r="E281" s="26"/>
      <c r="F281" s="26"/>
      <c r="G281" s="28"/>
    </row>
    <row r="282" spans="1:20" ht="12.75" customHeight="1">
      <c r="A282" s="766"/>
      <c r="B282" s="506">
        <v>107013</v>
      </c>
      <c r="C282" s="507" t="s">
        <v>532</v>
      </c>
      <c r="D282" s="26"/>
      <c r="E282" s="26"/>
      <c r="F282" s="26"/>
      <c r="G282" s="28"/>
    </row>
    <row r="283" spans="1:20" ht="12.75" customHeight="1">
      <c r="A283" s="766"/>
      <c r="B283" s="508" t="s">
        <v>510</v>
      </c>
      <c r="C283" s="507" t="s">
        <v>533</v>
      </c>
      <c r="D283" s="26"/>
      <c r="E283" s="26"/>
      <c r="F283" s="26"/>
      <c r="G283" s="28"/>
    </row>
    <row r="284" spans="1:20" ht="12.75" customHeight="1">
      <c r="A284" s="766"/>
      <c r="B284" s="508" t="s">
        <v>508</v>
      </c>
      <c r="C284" s="507" t="s">
        <v>516</v>
      </c>
      <c r="D284" s="26">
        <v>28978829</v>
      </c>
      <c r="E284" s="26">
        <v>28978829</v>
      </c>
      <c r="F284" s="26">
        <v>28978829</v>
      </c>
      <c r="G284" s="28">
        <f>ROUND(F284/E284*100,2)</f>
        <v>100</v>
      </c>
    </row>
    <row r="285" spans="1:20" ht="12.75" customHeight="1">
      <c r="A285" s="769" t="s">
        <v>529</v>
      </c>
      <c r="B285" s="769"/>
      <c r="C285" s="769"/>
      <c r="D285" s="36">
        <f>SUM(D286:D291)</f>
        <v>22889754</v>
      </c>
      <c r="E285" s="36">
        <f>SUM(E286:E291)</f>
        <v>22891163</v>
      </c>
      <c r="F285" s="36">
        <f>SUM(F286:F291)</f>
        <v>22891163</v>
      </c>
      <c r="G285" s="37">
        <f>ROUND(F285/E285*100,2)</f>
        <v>100</v>
      </c>
    </row>
    <row r="286" spans="1:20" ht="12.75" customHeight="1">
      <c r="A286" s="766"/>
      <c r="B286" s="506">
        <v>104042</v>
      </c>
      <c r="C286" s="507" t="s">
        <v>522</v>
      </c>
      <c r="D286" s="26"/>
      <c r="E286" s="26"/>
      <c r="F286" s="26"/>
      <c r="G286" s="28"/>
    </row>
    <row r="287" spans="1:20" ht="12.75" customHeight="1">
      <c r="A287" s="766"/>
      <c r="B287" s="506">
        <v>104043</v>
      </c>
      <c r="C287" s="507" t="s">
        <v>523</v>
      </c>
      <c r="D287" s="26"/>
      <c r="E287" s="26"/>
      <c r="F287" s="26"/>
      <c r="G287" s="28"/>
    </row>
    <row r="288" spans="1:20" s="688" customFormat="1" ht="12.75" customHeight="1">
      <c r="A288" s="766"/>
      <c r="B288" s="508" t="s">
        <v>508</v>
      </c>
      <c r="C288" s="510" t="s">
        <v>1191</v>
      </c>
      <c r="D288" s="26">
        <v>1467293</v>
      </c>
      <c r="E288" s="26">
        <v>1468702</v>
      </c>
      <c r="F288" s="26">
        <v>1468702</v>
      </c>
      <c r="G288" s="28">
        <f t="shared" ref="G288:G298" si="11">ROUND(F288/E288*100,2)</f>
        <v>100</v>
      </c>
      <c r="H288" s="679"/>
      <c r="I288" s="679"/>
      <c r="J288" s="678"/>
      <c r="K288" s="678"/>
      <c r="L288" s="679"/>
      <c r="M288" s="679"/>
      <c r="N288" s="679"/>
      <c r="O288" s="679"/>
      <c r="P288" s="679"/>
      <c r="Q288" s="679"/>
      <c r="R288" s="679"/>
      <c r="S288" s="679"/>
      <c r="T288" s="679"/>
    </row>
    <row r="289" spans="1:20" s="688" customFormat="1" ht="12.75" customHeight="1">
      <c r="A289" s="766"/>
      <c r="B289" s="508" t="s">
        <v>848</v>
      </c>
      <c r="C289" s="510" t="s">
        <v>1191</v>
      </c>
      <c r="D289" s="26"/>
      <c r="E289" s="26"/>
      <c r="F289" s="26"/>
      <c r="G289" s="28"/>
      <c r="H289" s="679"/>
      <c r="I289" s="679"/>
      <c r="J289" s="678"/>
      <c r="K289" s="678"/>
      <c r="L289" s="679"/>
      <c r="M289" s="679"/>
      <c r="N289" s="679"/>
      <c r="O289" s="679"/>
      <c r="P289" s="679"/>
      <c r="Q289" s="679"/>
      <c r="R289" s="679"/>
      <c r="S289" s="679"/>
      <c r="T289" s="679"/>
    </row>
    <row r="290" spans="1:20" ht="12.75" customHeight="1">
      <c r="A290" s="766"/>
      <c r="B290" s="508" t="s">
        <v>510</v>
      </c>
      <c r="C290" s="507" t="s">
        <v>533</v>
      </c>
      <c r="D290" s="26"/>
      <c r="E290" s="26"/>
      <c r="F290" s="26"/>
      <c r="G290" s="28"/>
    </row>
    <row r="291" spans="1:20" ht="12.75" customHeight="1">
      <c r="A291" s="766"/>
      <c r="B291" s="508" t="s">
        <v>508</v>
      </c>
      <c r="C291" s="507" t="s">
        <v>516</v>
      </c>
      <c r="D291" s="26">
        <v>21422461</v>
      </c>
      <c r="E291" s="26">
        <v>21422461</v>
      </c>
      <c r="F291" s="26">
        <v>21422461</v>
      </c>
      <c r="G291" s="28">
        <f t="shared" si="11"/>
        <v>100</v>
      </c>
    </row>
    <row r="292" spans="1:20">
      <c r="A292" s="770" t="s">
        <v>531</v>
      </c>
      <c r="B292" s="770"/>
      <c r="C292" s="770"/>
      <c r="D292" s="34">
        <f>SUM(D293:D298)</f>
        <v>7274878</v>
      </c>
      <c r="E292" s="34">
        <f>SUM(E293:E298)</f>
        <v>7274878</v>
      </c>
      <c r="F292" s="34">
        <f>SUM(F293:F298)</f>
        <v>7274878</v>
      </c>
      <c r="G292" s="35">
        <f t="shared" si="11"/>
        <v>100</v>
      </c>
    </row>
    <row r="293" spans="1:20" ht="12.75" customHeight="1">
      <c r="A293" s="766"/>
      <c r="B293" s="506">
        <v>104031</v>
      </c>
      <c r="C293" s="507" t="s">
        <v>524</v>
      </c>
      <c r="D293" s="26"/>
      <c r="E293" s="26"/>
      <c r="F293" s="26"/>
      <c r="G293" s="28"/>
    </row>
    <row r="294" spans="1:20" ht="12.75" customHeight="1">
      <c r="A294" s="766"/>
      <c r="B294" s="506">
        <v>104035</v>
      </c>
      <c r="C294" s="507" t="s">
        <v>525</v>
      </c>
      <c r="D294" s="26"/>
      <c r="E294" s="26"/>
      <c r="F294" s="26"/>
      <c r="G294" s="28"/>
    </row>
    <row r="295" spans="1:20" s="689" customFormat="1" ht="12.75" customHeight="1">
      <c r="A295" s="766"/>
      <c r="B295" s="506">
        <v>104036</v>
      </c>
      <c r="C295" s="507" t="s">
        <v>526</v>
      </c>
      <c r="D295" s="26"/>
      <c r="E295" s="26"/>
      <c r="F295" s="26"/>
      <c r="G295" s="28"/>
      <c r="H295" s="679"/>
      <c r="I295" s="679"/>
      <c r="J295" s="678">
        <f>SUM(J279:J294)</f>
        <v>0</v>
      </c>
      <c r="K295" s="678"/>
      <c r="L295" s="679"/>
      <c r="M295" s="679"/>
      <c r="N295" s="679"/>
      <c r="O295" s="679"/>
      <c r="P295" s="679"/>
      <c r="Q295" s="679"/>
      <c r="R295" s="679"/>
      <c r="S295" s="679"/>
      <c r="T295" s="679"/>
    </row>
    <row r="296" spans="1:20" ht="12.75" customHeight="1">
      <c r="A296" s="766"/>
      <c r="B296" s="506">
        <v>104037</v>
      </c>
      <c r="C296" s="507" t="s">
        <v>534</v>
      </c>
      <c r="D296" s="26"/>
      <c r="E296" s="26"/>
      <c r="F296" s="26"/>
      <c r="G296" s="28"/>
    </row>
    <row r="297" spans="1:20" ht="12.75" customHeight="1">
      <c r="A297" s="766"/>
      <c r="B297" s="508" t="s">
        <v>510</v>
      </c>
      <c r="C297" s="507" t="s">
        <v>533</v>
      </c>
      <c r="D297" s="26"/>
      <c r="E297" s="26"/>
      <c r="F297" s="26"/>
      <c r="G297" s="28"/>
    </row>
    <row r="298" spans="1:20" ht="12.75" customHeight="1">
      <c r="A298" s="766"/>
      <c r="B298" s="508" t="s">
        <v>508</v>
      </c>
      <c r="C298" s="507" t="s">
        <v>516</v>
      </c>
      <c r="D298" s="26">
        <v>7274878</v>
      </c>
      <c r="E298" s="26">
        <v>7274878</v>
      </c>
      <c r="F298" s="26">
        <v>7274878</v>
      </c>
      <c r="G298" s="28">
        <f t="shared" si="11"/>
        <v>100</v>
      </c>
    </row>
    <row r="299" spans="1:20" ht="12.75" customHeight="1">
      <c r="A299" s="704"/>
      <c r="B299" s="705"/>
      <c r="D299" s="706"/>
      <c r="E299" s="706"/>
      <c r="F299" s="706"/>
      <c r="G299" s="707"/>
    </row>
    <row r="300" spans="1:20" ht="12.75" customHeight="1">
      <c r="A300" s="704"/>
      <c r="B300" s="705"/>
      <c r="D300" s="706"/>
      <c r="E300" s="706"/>
      <c r="F300" s="706"/>
      <c r="G300" s="707"/>
    </row>
    <row r="301" spans="1:20" ht="24.75" customHeight="1">
      <c r="A301" s="761" t="s">
        <v>1036</v>
      </c>
      <c r="B301" s="761"/>
      <c r="C301" s="761"/>
      <c r="D301" s="38">
        <f>SUM(D303+D324)</f>
        <v>2873846</v>
      </c>
      <c r="E301" s="38">
        <f>SUM(E303+E324)</f>
        <v>2872437</v>
      </c>
      <c r="F301" s="38">
        <f>SUM(F303+F324)</f>
        <v>2872437</v>
      </c>
      <c r="G301" s="39">
        <f>ROUND(F301/E301*100,2)</f>
        <v>100</v>
      </c>
    </row>
    <row r="302" spans="1:20">
      <c r="A302" s="764" t="s">
        <v>1</v>
      </c>
      <c r="B302" s="764"/>
      <c r="C302" s="764"/>
      <c r="D302" s="27">
        <f>SUM(D303)</f>
        <v>2858850</v>
      </c>
      <c r="E302" s="27">
        <f>SUM(E303)</f>
        <v>2858850</v>
      </c>
      <c r="F302" s="27">
        <f>SUM(F303)</f>
        <v>2858850</v>
      </c>
      <c r="G302" s="29">
        <f>ROUND(F302/E302*100,2)</f>
        <v>100</v>
      </c>
    </row>
    <row r="303" spans="1:20">
      <c r="A303" s="765" t="s">
        <v>527</v>
      </c>
      <c r="B303" s="765"/>
      <c r="C303" s="765"/>
      <c r="D303" s="30">
        <f>SUM(D304:D323)</f>
        <v>2858850</v>
      </c>
      <c r="E303" s="30">
        <f>SUM(E304:E323)</f>
        <v>2858850</v>
      </c>
      <c r="F303" s="30">
        <f>SUM(F304:F323)</f>
        <v>2858850</v>
      </c>
      <c r="G303" s="31">
        <f>ROUND(F303/E303*100,2)</f>
        <v>100</v>
      </c>
    </row>
    <row r="304" spans="1:20" s="685" customFormat="1" ht="15.75">
      <c r="A304" s="766"/>
      <c r="B304" s="508" t="s">
        <v>506</v>
      </c>
      <c r="C304" s="507" t="s">
        <v>512</v>
      </c>
      <c r="D304" s="26"/>
      <c r="E304" s="26"/>
      <c r="F304" s="26"/>
      <c r="G304" s="28"/>
      <c r="H304" s="701"/>
      <c r="I304" s="684"/>
      <c r="J304" s="683"/>
      <c r="K304" s="683"/>
      <c r="L304" s="684"/>
      <c r="M304" s="684"/>
      <c r="N304" s="684"/>
      <c r="O304" s="684"/>
      <c r="P304" s="684"/>
      <c r="Q304" s="684"/>
      <c r="R304" s="684"/>
      <c r="S304" s="684"/>
      <c r="T304" s="684"/>
    </row>
    <row r="305" spans="1:20" s="680" customFormat="1" ht="12.75" customHeight="1">
      <c r="A305" s="766"/>
      <c r="B305" s="508" t="s">
        <v>507</v>
      </c>
      <c r="C305" s="507" t="s">
        <v>517</v>
      </c>
      <c r="D305" s="26"/>
      <c r="E305" s="26"/>
      <c r="F305" s="26"/>
      <c r="G305" s="28"/>
      <c r="H305" s="679"/>
      <c r="I305" s="679"/>
      <c r="J305" s="678"/>
      <c r="K305" s="678"/>
      <c r="L305" s="679"/>
      <c r="M305" s="679"/>
      <c r="N305" s="679"/>
      <c r="O305" s="679"/>
      <c r="P305" s="679"/>
      <c r="Q305" s="679"/>
      <c r="R305" s="679"/>
      <c r="S305" s="679"/>
      <c r="T305" s="679"/>
    </row>
    <row r="306" spans="1:20" s="686" customFormat="1" ht="12.75" customHeight="1">
      <c r="A306" s="766"/>
      <c r="B306" s="506">
        <v>107052</v>
      </c>
      <c r="C306" s="507" t="s">
        <v>515</v>
      </c>
      <c r="D306" s="26"/>
      <c r="E306" s="26"/>
      <c r="F306" s="26"/>
      <c r="G306" s="28"/>
      <c r="H306" s="679"/>
      <c r="I306" s="679"/>
      <c r="J306" s="678"/>
      <c r="K306" s="678"/>
      <c r="L306" s="679"/>
      <c r="M306" s="679"/>
      <c r="N306" s="679"/>
      <c r="O306" s="679"/>
      <c r="P306" s="679"/>
      <c r="Q306" s="679"/>
      <c r="R306" s="679"/>
      <c r="S306" s="679"/>
      <c r="T306" s="679"/>
    </row>
    <row r="307" spans="1:20" ht="12.75" customHeight="1">
      <c r="A307" s="766"/>
      <c r="B307" s="508" t="s">
        <v>513</v>
      </c>
      <c r="C307" s="507" t="s">
        <v>514</v>
      </c>
      <c r="D307" s="26"/>
      <c r="E307" s="26"/>
      <c r="F307" s="26"/>
      <c r="G307" s="28"/>
    </row>
    <row r="308" spans="1:20" ht="12.75" customHeight="1">
      <c r="A308" s="766"/>
      <c r="B308" s="508" t="s">
        <v>508</v>
      </c>
      <c r="C308" s="507" t="s">
        <v>516</v>
      </c>
      <c r="D308" s="26">
        <v>807083</v>
      </c>
      <c r="E308" s="26">
        <v>807083</v>
      </c>
      <c r="F308" s="26">
        <v>807083</v>
      </c>
      <c r="G308" s="28">
        <f>ROUND(F308/E308*100,2)</f>
        <v>100</v>
      </c>
    </row>
    <row r="309" spans="1:20" ht="12.75" customHeight="1">
      <c r="A309" s="766"/>
      <c r="B309" s="508" t="s">
        <v>508</v>
      </c>
      <c r="C309" s="510" t="s">
        <v>1191</v>
      </c>
      <c r="D309" s="26">
        <v>2051767</v>
      </c>
      <c r="E309" s="26">
        <v>2051767</v>
      </c>
      <c r="F309" s="26">
        <v>2051767</v>
      </c>
      <c r="G309" s="28">
        <f>ROUND(F309/E309*100,2)</f>
        <v>100</v>
      </c>
    </row>
    <row r="310" spans="1:20" ht="12.75" customHeight="1">
      <c r="A310" s="766"/>
      <c r="B310" s="509" t="s">
        <v>508</v>
      </c>
      <c r="C310" s="510" t="s">
        <v>962</v>
      </c>
      <c r="D310" s="26"/>
      <c r="E310" s="26"/>
      <c r="F310" s="26"/>
      <c r="G310" s="28"/>
    </row>
    <row r="311" spans="1:20" ht="12.75" customHeight="1">
      <c r="A311" s="766"/>
      <c r="B311" s="508" t="s">
        <v>508</v>
      </c>
      <c r="C311" s="507" t="s">
        <v>874</v>
      </c>
      <c r="D311" s="26"/>
      <c r="E311" s="26"/>
      <c r="F311" s="26"/>
      <c r="G311" s="28"/>
    </row>
    <row r="312" spans="1:20" ht="12.75" customHeight="1">
      <c r="A312" s="766"/>
      <c r="B312" s="508" t="s">
        <v>509</v>
      </c>
      <c r="C312" s="507" t="s">
        <v>511</v>
      </c>
      <c r="D312" s="26"/>
      <c r="E312" s="26"/>
      <c r="F312" s="26"/>
      <c r="G312" s="28"/>
    </row>
    <row r="313" spans="1:20">
      <c r="A313" s="766"/>
      <c r="B313" s="506">
        <v>107052</v>
      </c>
      <c r="C313" s="507" t="s">
        <v>518</v>
      </c>
      <c r="D313" s="26"/>
      <c r="E313" s="26"/>
      <c r="F313" s="26"/>
      <c r="G313" s="28"/>
    </row>
    <row r="314" spans="1:20">
      <c r="A314" s="766"/>
      <c r="B314" s="506">
        <v>107051</v>
      </c>
      <c r="C314" s="507" t="s">
        <v>194</v>
      </c>
      <c r="D314" s="26"/>
      <c r="E314" s="26"/>
      <c r="F314" s="26"/>
      <c r="G314" s="28"/>
    </row>
    <row r="315" spans="1:20" ht="12.75" customHeight="1">
      <c r="A315" s="766"/>
      <c r="B315" s="506">
        <v>107053</v>
      </c>
      <c r="C315" s="507" t="s">
        <v>519</v>
      </c>
      <c r="D315" s="26"/>
      <c r="E315" s="26"/>
      <c r="F315" s="26"/>
      <c r="G315" s="28"/>
    </row>
    <row r="316" spans="1:20" ht="12.75" customHeight="1">
      <c r="A316" s="766"/>
      <c r="B316" s="506">
        <v>102031</v>
      </c>
      <c r="C316" s="507" t="s">
        <v>520</v>
      </c>
      <c r="D316" s="26"/>
      <c r="E316" s="26"/>
      <c r="F316" s="26"/>
      <c r="G316" s="28"/>
    </row>
    <row r="317" spans="1:20" ht="12.75" customHeight="1">
      <c r="A317" s="766"/>
      <c r="B317" s="506">
        <v>107013</v>
      </c>
      <c r="C317" s="507" t="s">
        <v>521</v>
      </c>
      <c r="D317" s="26"/>
      <c r="E317" s="26"/>
      <c r="F317" s="26"/>
      <c r="G317" s="28"/>
    </row>
    <row r="318" spans="1:20" ht="12.75" customHeight="1">
      <c r="A318" s="766"/>
      <c r="B318" s="506">
        <v>104042</v>
      </c>
      <c r="C318" s="507" t="s">
        <v>522</v>
      </c>
      <c r="D318" s="26"/>
      <c r="E318" s="26"/>
      <c r="F318" s="26"/>
      <c r="G318" s="28"/>
    </row>
    <row r="319" spans="1:20" ht="12.75" customHeight="1">
      <c r="A319" s="766"/>
      <c r="B319" s="506">
        <v>104043</v>
      </c>
      <c r="C319" s="507" t="s">
        <v>522</v>
      </c>
      <c r="D319" s="26"/>
      <c r="E319" s="26"/>
      <c r="F319" s="26"/>
      <c r="G319" s="28"/>
    </row>
    <row r="320" spans="1:20" ht="12.75" customHeight="1">
      <c r="A320" s="766"/>
      <c r="B320" s="506">
        <v>104043</v>
      </c>
      <c r="C320" s="507" t="s">
        <v>523</v>
      </c>
      <c r="D320" s="26"/>
      <c r="E320" s="26"/>
      <c r="F320" s="26"/>
      <c r="G320" s="28"/>
    </row>
    <row r="321" spans="1:20" ht="12.75" customHeight="1">
      <c r="A321" s="766"/>
      <c r="B321" s="506">
        <v>104031</v>
      </c>
      <c r="C321" s="507" t="s">
        <v>524</v>
      </c>
      <c r="D321" s="26"/>
      <c r="E321" s="26"/>
      <c r="F321" s="26"/>
      <c r="G321" s="28"/>
    </row>
    <row r="322" spans="1:20" ht="12.75" customHeight="1">
      <c r="A322" s="766"/>
      <c r="B322" s="506">
        <v>104035</v>
      </c>
      <c r="C322" s="507" t="s">
        <v>525</v>
      </c>
      <c r="D322" s="26"/>
      <c r="E322" s="26"/>
      <c r="F322" s="26"/>
      <c r="G322" s="28"/>
    </row>
    <row r="323" spans="1:20" ht="12.75" customHeight="1">
      <c r="A323" s="766"/>
      <c r="B323" s="506">
        <v>104036</v>
      </c>
      <c r="C323" s="507" t="s">
        <v>526</v>
      </c>
      <c r="D323" s="26"/>
      <c r="E323" s="26"/>
      <c r="F323" s="26"/>
      <c r="G323" s="28"/>
    </row>
    <row r="324" spans="1:20" ht="12.75" customHeight="1">
      <c r="A324" s="767" t="s">
        <v>528</v>
      </c>
      <c r="B324" s="767"/>
      <c r="C324" s="767"/>
      <c r="D324" s="27">
        <f>SUM(D325+D334+D341)</f>
        <v>14996</v>
      </c>
      <c r="E324" s="27">
        <f>SUM(E325+E334+E341)</f>
        <v>13587</v>
      </c>
      <c r="F324" s="27">
        <f>SUM(F325+F334+F341)</f>
        <v>13587</v>
      </c>
      <c r="G324" s="29">
        <f>ROUND(F324/E324*100,2)</f>
        <v>100</v>
      </c>
    </row>
    <row r="325" spans="1:20" ht="12.75" customHeight="1">
      <c r="A325" s="768" t="s">
        <v>530</v>
      </c>
      <c r="B325" s="768"/>
      <c r="C325" s="768"/>
      <c r="D325" s="32">
        <f>SUM(D326:D333)</f>
        <v>0</v>
      </c>
      <c r="E325" s="32">
        <f>SUM(E326:E333)</f>
        <v>0</v>
      </c>
      <c r="F325" s="32">
        <f>SUM(F326:F333)</f>
        <v>0</v>
      </c>
      <c r="G325" s="33"/>
    </row>
    <row r="326" spans="1:20" s="680" customFormat="1" ht="12.75" customHeight="1">
      <c r="A326" s="766"/>
      <c r="B326" s="506">
        <v>107052</v>
      </c>
      <c r="C326" s="507" t="s">
        <v>518</v>
      </c>
      <c r="D326" s="26"/>
      <c r="E326" s="26"/>
      <c r="F326" s="26"/>
      <c r="G326" s="28"/>
      <c r="H326" s="679"/>
      <c r="I326" s="679"/>
      <c r="J326" s="678"/>
      <c r="K326" s="678"/>
      <c r="L326" s="679"/>
      <c r="M326" s="679"/>
      <c r="N326" s="679"/>
      <c r="O326" s="679"/>
      <c r="P326" s="679"/>
      <c r="Q326" s="679"/>
      <c r="R326" s="679"/>
      <c r="S326" s="679"/>
      <c r="T326" s="679"/>
    </row>
    <row r="327" spans="1:20" s="687" customFormat="1" ht="12.75" customHeight="1">
      <c r="A327" s="766"/>
      <c r="B327" s="506">
        <v>107053</v>
      </c>
      <c r="C327" s="507" t="s">
        <v>519</v>
      </c>
      <c r="D327" s="26"/>
      <c r="E327" s="26"/>
      <c r="F327" s="26"/>
      <c r="G327" s="28"/>
      <c r="H327" s="679"/>
      <c r="I327" s="679"/>
      <c r="J327" s="678"/>
      <c r="K327" s="678"/>
      <c r="L327" s="679"/>
      <c r="M327" s="679"/>
      <c r="N327" s="679"/>
      <c r="O327" s="679"/>
      <c r="P327" s="679"/>
      <c r="Q327" s="679"/>
      <c r="R327" s="679"/>
      <c r="S327" s="679"/>
      <c r="T327" s="679"/>
    </row>
    <row r="328" spans="1:20" ht="12.75" customHeight="1">
      <c r="A328" s="766"/>
      <c r="B328" s="506">
        <v>107051</v>
      </c>
      <c r="C328" s="507" t="s">
        <v>194</v>
      </c>
      <c r="D328" s="26"/>
      <c r="E328" s="26"/>
      <c r="F328" s="26"/>
      <c r="G328" s="28"/>
    </row>
    <row r="329" spans="1:20" ht="12.75" customHeight="1">
      <c r="A329" s="766"/>
      <c r="B329" s="506">
        <v>102031</v>
      </c>
      <c r="C329" s="507" t="s">
        <v>520</v>
      </c>
      <c r="D329" s="26"/>
      <c r="E329" s="26"/>
      <c r="F329" s="26"/>
      <c r="G329" s="28"/>
    </row>
    <row r="330" spans="1:20" ht="12.75" customHeight="1">
      <c r="A330" s="766"/>
      <c r="B330" s="506">
        <v>102032</v>
      </c>
      <c r="C330" s="507" t="s">
        <v>883</v>
      </c>
      <c r="D330" s="26"/>
      <c r="E330" s="26"/>
      <c r="F330" s="26"/>
      <c r="G330" s="28"/>
    </row>
    <row r="331" spans="1:20" ht="12.75" customHeight="1">
      <c r="A331" s="766"/>
      <c r="B331" s="506">
        <v>107013</v>
      </c>
      <c r="C331" s="507" t="s">
        <v>532</v>
      </c>
      <c r="D331" s="26"/>
      <c r="E331" s="26"/>
      <c r="F331" s="26"/>
      <c r="G331" s="28"/>
    </row>
    <row r="332" spans="1:20" ht="12.75" customHeight="1">
      <c r="A332" s="766"/>
      <c r="B332" s="508" t="s">
        <v>510</v>
      </c>
      <c r="C332" s="507" t="s">
        <v>533</v>
      </c>
      <c r="D332" s="26"/>
      <c r="E332" s="26"/>
      <c r="F332" s="26"/>
      <c r="G332" s="28"/>
    </row>
    <row r="333" spans="1:20" ht="12.75" customHeight="1">
      <c r="A333" s="766"/>
      <c r="B333" s="508" t="s">
        <v>508</v>
      </c>
      <c r="C333" s="507" t="s">
        <v>516</v>
      </c>
      <c r="D333" s="26"/>
      <c r="E333" s="26"/>
      <c r="F333" s="26"/>
      <c r="G333" s="28"/>
    </row>
    <row r="334" spans="1:20" ht="12.75" customHeight="1">
      <c r="A334" s="769" t="s">
        <v>529</v>
      </c>
      <c r="B334" s="769"/>
      <c r="C334" s="769"/>
      <c r="D334" s="36">
        <f>SUM(D335:D340)</f>
        <v>4750</v>
      </c>
      <c r="E334" s="36">
        <f>SUM(E335:E340)</f>
        <v>3341</v>
      </c>
      <c r="F334" s="36">
        <f>SUM(F335:F340)</f>
        <v>3341</v>
      </c>
      <c r="G334" s="37">
        <f>ROUND(F334/E334*100,2)</f>
        <v>100</v>
      </c>
    </row>
    <row r="335" spans="1:20" ht="12.75" customHeight="1">
      <c r="A335" s="766"/>
      <c r="B335" s="506">
        <v>104042</v>
      </c>
      <c r="C335" s="507" t="s">
        <v>522</v>
      </c>
      <c r="D335" s="26"/>
      <c r="E335" s="26"/>
      <c r="F335" s="26"/>
      <c r="G335" s="28"/>
    </row>
    <row r="336" spans="1:20" s="688" customFormat="1" ht="12.75" customHeight="1">
      <c r="A336" s="766"/>
      <c r="B336" s="506">
        <v>104043</v>
      </c>
      <c r="C336" s="507" t="s">
        <v>523</v>
      </c>
      <c r="D336" s="26"/>
      <c r="E336" s="26"/>
      <c r="F336" s="26"/>
      <c r="G336" s="28"/>
      <c r="H336" s="679"/>
      <c r="I336" s="679"/>
      <c r="J336" s="678"/>
      <c r="K336" s="678"/>
      <c r="L336" s="679"/>
      <c r="M336" s="679"/>
      <c r="N336" s="679"/>
      <c r="O336" s="679"/>
      <c r="P336" s="679"/>
      <c r="Q336" s="679"/>
      <c r="R336" s="679"/>
      <c r="S336" s="679"/>
      <c r="T336" s="679"/>
    </row>
    <row r="337" spans="1:20" ht="12.75" customHeight="1">
      <c r="A337" s="766"/>
      <c r="B337" s="508" t="s">
        <v>508</v>
      </c>
      <c r="C337" s="510" t="s">
        <v>1191</v>
      </c>
      <c r="D337" s="26">
        <v>4750</v>
      </c>
      <c r="E337" s="26">
        <v>3341</v>
      </c>
      <c r="F337" s="26">
        <v>3341</v>
      </c>
      <c r="G337" s="28">
        <f t="shared" ref="G337" si="12">ROUND(F337/E337*100,2)</f>
        <v>100</v>
      </c>
    </row>
    <row r="338" spans="1:20" ht="12.75" customHeight="1">
      <c r="A338" s="766"/>
      <c r="B338" s="508" t="s">
        <v>848</v>
      </c>
      <c r="C338" s="510" t="s">
        <v>1191</v>
      </c>
      <c r="D338" s="26"/>
      <c r="E338" s="26"/>
      <c r="F338" s="26"/>
      <c r="G338" s="28"/>
    </row>
    <row r="339" spans="1:20" ht="12.75" customHeight="1">
      <c r="A339" s="766"/>
      <c r="B339" s="508" t="s">
        <v>510</v>
      </c>
      <c r="C339" s="507" t="s">
        <v>533</v>
      </c>
      <c r="D339" s="26"/>
      <c r="E339" s="26"/>
      <c r="F339" s="26"/>
      <c r="G339" s="28"/>
    </row>
    <row r="340" spans="1:20">
      <c r="A340" s="766"/>
      <c r="B340" s="508" t="s">
        <v>508</v>
      </c>
      <c r="C340" s="507" t="s">
        <v>516</v>
      </c>
      <c r="D340" s="26"/>
      <c r="E340" s="26"/>
      <c r="F340" s="26"/>
      <c r="G340" s="28"/>
    </row>
    <row r="341" spans="1:20" ht="12.75" customHeight="1">
      <c r="A341" s="770" t="s">
        <v>531</v>
      </c>
      <c r="B341" s="770"/>
      <c r="C341" s="770"/>
      <c r="D341" s="34">
        <f>SUM(D342:D347)</f>
        <v>10246</v>
      </c>
      <c r="E341" s="34">
        <f>SUM(E342:E347)</f>
        <v>10246</v>
      </c>
      <c r="F341" s="34">
        <f>SUM(F342:F347)</f>
        <v>10246</v>
      </c>
      <c r="G341" s="35">
        <f t="shared" ref="G341" si="13">ROUND(F341/E341*100,2)</f>
        <v>100</v>
      </c>
    </row>
    <row r="342" spans="1:20" ht="12.75" customHeight="1">
      <c r="A342" s="766"/>
      <c r="B342" s="506">
        <v>104031</v>
      </c>
      <c r="C342" s="507" t="s">
        <v>524</v>
      </c>
      <c r="D342" s="26"/>
      <c r="E342" s="26"/>
      <c r="F342" s="26"/>
      <c r="G342" s="28"/>
    </row>
    <row r="343" spans="1:20" s="689" customFormat="1" ht="12.75" customHeight="1">
      <c r="A343" s="766"/>
      <c r="B343" s="506">
        <v>104035</v>
      </c>
      <c r="C343" s="507" t="s">
        <v>525</v>
      </c>
      <c r="D343" s="26"/>
      <c r="E343" s="26"/>
      <c r="F343" s="26"/>
      <c r="G343" s="28"/>
      <c r="H343" s="679"/>
      <c r="I343" s="679"/>
      <c r="J343" s="678"/>
      <c r="K343" s="678"/>
      <c r="L343" s="679"/>
      <c r="M343" s="679"/>
      <c r="N343" s="679"/>
      <c r="O343" s="679"/>
      <c r="P343" s="679"/>
      <c r="Q343" s="679"/>
      <c r="R343" s="679"/>
      <c r="S343" s="679"/>
      <c r="T343" s="679"/>
    </row>
    <row r="344" spans="1:20" ht="12.75" customHeight="1">
      <c r="A344" s="766"/>
      <c r="B344" s="506">
        <v>104036</v>
      </c>
      <c r="C344" s="507" t="s">
        <v>526</v>
      </c>
      <c r="D344" s="26"/>
      <c r="E344" s="26"/>
      <c r="F344" s="26"/>
      <c r="G344" s="28"/>
    </row>
    <row r="345" spans="1:20" ht="12.75" customHeight="1">
      <c r="A345" s="766"/>
      <c r="B345" s="506">
        <v>104037</v>
      </c>
      <c r="C345" s="507" t="s">
        <v>534</v>
      </c>
      <c r="D345" s="26"/>
      <c r="E345" s="26"/>
      <c r="F345" s="26"/>
      <c r="G345" s="28"/>
    </row>
    <row r="346" spans="1:20" ht="12.75" customHeight="1">
      <c r="A346" s="766"/>
      <c r="B346" s="508" t="s">
        <v>510</v>
      </c>
      <c r="C346" s="507" t="s">
        <v>533</v>
      </c>
      <c r="D346" s="26"/>
      <c r="E346" s="26"/>
      <c r="F346" s="26"/>
      <c r="G346" s="28"/>
    </row>
    <row r="347" spans="1:20" ht="12.75" customHeight="1">
      <c r="A347" s="766"/>
      <c r="B347" s="508" t="s">
        <v>508</v>
      </c>
      <c r="C347" s="507" t="s">
        <v>516</v>
      </c>
      <c r="D347" s="26">
        <v>10246</v>
      </c>
      <c r="E347" s="26">
        <v>10246</v>
      </c>
      <c r="F347" s="26">
        <v>10246</v>
      </c>
      <c r="G347" s="28">
        <f t="shared" ref="G347" si="14">ROUND(F347/E347*100,2)</f>
        <v>100</v>
      </c>
    </row>
    <row r="348" spans="1:20" ht="12.75" customHeight="1">
      <c r="A348" s="787"/>
      <c r="B348" s="773"/>
      <c r="C348" s="773"/>
      <c r="D348" s="773"/>
      <c r="E348" s="773"/>
      <c r="F348" s="773"/>
      <c r="G348" s="788"/>
    </row>
    <row r="349" spans="1:20" ht="12.75" customHeight="1">
      <c r="A349" s="787"/>
      <c r="B349" s="773"/>
      <c r="C349" s="773"/>
      <c r="D349" s="773"/>
      <c r="E349" s="773"/>
      <c r="F349" s="773"/>
      <c r="G349" s="788"/>
    </row>
    <row r="350" spans="1:20" ht="15.75">
      <c r="A350" s="761" t="s">
        <v>1005</v>
      </c>
      <c r="B350" s="761"/>
      <c r="C350" s="761"/>
      <c r="D350" s="38">
        <f>SUM(D352+D372)</f>
        <v>892917</v>
      </c>
      <c r="E350" s="38">
        <f>SUM(E352+E372)</f>
        <v>1135027</v>
      </c>
      <c r="F350" s="38">
        <f>SUM(F352+F372)</f>
        <v>1135027</v>
      </c>
      <c r="G350" s="39">
        <f>ROUND(F350/E350*100,2)</f>
        <v>100</v>
      </c>
    </row>
    <row r="351" spans="1:20">
      <c r="A351" s="764" t="s">
        <v>1</v>
      </c>
      <c r="B351" s="764"/>
      <c r="C351" s="764"/>
      <c r="D351" s="27">
        <f>SUM(D352)</f>
        <v>92917</v>
      </c>
      <c r="E351" s="27">
        <f>SUM(E352)</f>
        <v>335027</v>
      </c>
      <c r="F351" s="27">
        <f>SUM(F352)</f>
        <v>335027</v>
      </c>
      <c r="G351" s="29">
        <f>ROUND(F351/E351*100,2)</f>
        <v>100</v>
      </c>
    </row>
    <row r="352" spans="1:20" s="685" customFormat="1" ht="15.75">
      <c r="A352" s="765" t="s">
        <v>527</v>
      </c>
      <c r="B352" s="765"/>
      <c r="C352" s="765"/>
      <c r="D352" s="30">
        <f>SUM(D353:D371)</f>
        <v>92917</v>
      </c>
      <c r="E352" s="30">
        <f>SUM(E353:E371)</f>
        <v>335027</v>
      </c>
      <c r="F352" s="30">
        <f>SUM(F353:F371)</f>
        <v>335027</v>
      </c>
      <c r="G352" s="31">
        <f>ROUND(F352/E352*100,2)</f>
        <v>100</v>
      </c>
      <c r="H352" s="701"/>
      <c r="I352" s="684"/>
      <c r="J352" s="683"/>
      <c r="K352" s="683"/>
      <c r="L352" s="684"/>
      <c r="M352" s="684"/>
      <c r="N352" s="684"/>
      <c r="O352" s="684"/>
      <c r="P352" s="684"/>
      <c r="Q352" s="684"/>
      <c r="R352" s="684"/>
      <c r="S352" s="684"/>
      <c r="T352" s="684"/>
    </row>
    <row r="353" spans="1:20" s="680" customFormat="1" ht="12.75" customHeight="1">
      <c r="A353" s="766"/>
      <c r="B353" s="508" t="s">
        <v>506</v>
      </c>
      <c r="C353" s="507" t="s">
        <v>512</v>
      </c>
      <c r="D353" s="26"/>
      <c r="E353" s="26"/>
      <c r="F353" s="26"/>
      <c r="G353" s="28"/>
      <c r="H353" s="679"/>
      <c r="I353" s="679"/>
      <c r="J353" s="678"/>
      <c r="K353" s="678"/>
      <c r="L353" s="679"/>
      <c r="M353" s="679"/>
      <c r="N353" s="679"/>
      <c r="O353" s="679"/>
      <c r="P353" s="679"/>
      <c r="Q353" s="679"/>
      <c r="R353" s="679"/>
      <c r="S353" s="679"/>
      <c r="T353" s="679"/>
    </row>
    <row r="354" spans="1:20" s="686" customFormat="1" ht="12.75" customHeight="1">
      <c r="A354" s="766"/>
      <c r="B354" s="508" t="s">
        <v>507</v>
      </c>
      <c r="C354" s="507" t="s">
        <v>517</v>
      </c>
      <c r="D354" s="26"/>
      <c r="E354" s="26"/>
      <c r="F354" s="26"/>
      <c r="G354" s="28"/>
      <c r="H354" s="679"/>
      <c r="I354" s="679"/>
      <c r="J354" s="678"/>
      <c r="K354" s="678"/>
      <c r="L354" s="679"/>
      <c r="M354" s="679"/>
      <c r="N354" s="679"/>
      <c r="O354" s="679"/>
      <c r="P354" s="679"/>
      <c r="Q354" s="679"/>
      <c r="R354" s="679"/>
      <c r="S354" s="679"/>
      <c r="T354" s="679"/>
    </row>
    <row r="355" spans="1:20" ht="12.75" customHeight="1">
      <c r="A355" s="766"/>
      <c r="B355" s="506">
        <v>107052</v>
      </c>
      <c r="C355" s="507" t="s">
        <v>515</v>
      </c>
      <c r="D355" s="26"/>
      <c r="E355" s="26"/>
      <c r="F355" s="26"/>
      <c r="G355" s="28"/>
    </row>
    <row r="356" spans="1:20" ht="12.75" customHeight="1">
      <c r="A356" s="766"/>
      <c r="B356" s="508" t="s">
        <v>513</v>
      </c>
      <c r="C356" s="507" t="s">
        <v>514</v>
      </c>
      <c r="D356" s="26"/>
      <c r="E356" s="26"/>
      <c r="F356" s="26"/>
      <c r="G356" s="28"/>
    </row>
    <row r="357" spans="1:20" ht="12.75" customHeight="1">
      <c r="A357" s="766"/>
      <c r="B357" s="508" t="s">
        <v>508</v>
      </c>
      <c r="C357" s="507" t="s">
        <v>516</v>
      </c>
      <c r="D357" s="26">
        <v>92917</v>
      </c>
      <c r="E357" s="26">
        <v>335027</v>
      </c>
      <c r="F357" s="26">
        <v>335027</v>
      </c>
      <c r="G357" s="28">
        <f>ROUND(F357/E357*100,2)</f>
        <v>100</v>
      </c>
    </row>
    <row r="358" spans="1:20" ht="12.75" customHeight="1">
      <c r="A358" s="766"/>
      <c r="B358" s="508" t="s">
        <v>508</v>
      </c>
      <c r="C358" s="507" t="s">
        <v>874</v>
      </c>
      <c r="D358" s="26"/>
      <c r="E358" s="26"/>
      <c r="F358" s="26"/>
      <c r="G358" s="28"/>
    </row>
    <row r="359" spans="1:20" ht="12.75" customHeight="1">
      <c r="A359" s="766"/>
      <c r="B359" s="509" t="s">
        <v>508</v>
      </c>
      <c r="C359" s="510" t="s">
        <v>1191</v>
      </c>
      <c r="D359" s="26"/>
      <c r="E359" s="26"/>
      <c r="F359" s="26"/>
      <c r="G359" s="28"/>
    </row>
    <row r="360" spans="1:20" ht="12.75" customHeight="1">
      <c r="A360" s="766"/>
      <c r="B360" s="509" t="s">
        <v>508</v>
      </c>
      <c r="C360" s="510" t="s">
        <v>962</v>
      </c>
      <c r="D360" s="26"/>
      <c r="E360" s="26"/>
      <c r="F360" s="26"/>
      <c r="G360" s="28"/>
    </row>
    <row r="361" spans="1:20" ht="12.75" customHeight="1">
      <c r="A361" s="766"/>
      <c r="B361" s="508" t="s">
        <v>509</v>
      </c>
      <c r="C361" s="507" t="s">
        <v>511</v>
      </c>
      <c r="D361" s="26"/>
      <c r="E361" s="26"/>
      <c r="F361" s="26"/>
      <c r="G361" s="28"/>
    </row>
    <row r="362" spans="1:20" ht="12.75" customHeight="1">
      <c r="A362" s="766"/>
      <c r="B362" s="506">
        <v>107052</v>
      </c>
      <c r="C362" s="507" t="s">
        <v>518</v>
      </c>
      <c r="D362" s="26"/>
      <c r="E362" s="26"/>
      <c r="F362" s="26"/>
      <c r="G362" s="28"/>
    </row>
    <row r="363" spans="1:20" ht="12.75" customHeight="1">
      <c r="A363" s="766"/>
      <c r="B363" s="506">
        <v>107051</v>
      </c>
      <c r="C363" s="507" t="s">
        <v>194</v>
      </c>
      <c r="D363" s="26"/>
      <c r="E363" s="26"/>
      <c r="F363" s="26"/>
      <c r="G363" s="28"/>
    </row>
    <row r="364" spans="1:20" ht="12.75" customHeight="1">
      <c r="A364" s="766"/>
      <c r="B364" s="506">
        <v>107053</v>
      </c>
      <c r="C364" s="507" t="s">
        <v>519</v>
      </c>
      <c r="D364" s="26"/>
      <c r="E364" s="26"/>
      <c r="F364" s="26"/>
      <c r="G364" s="28"/>
    </row>
    <row r="365" spans="1:20" ht="12.75" customHeight="1">
      <c r="A365" s="766"/>
      <c r="B365" s="506">
        <v>102031</v>
      </c>
      <c r="C365" s="507" t="s">
        <v>520</v>
      </c>
      <c r="D365" s="26"/>
      <c r="E365" s="26"/>
      <c r="F365" s="26"/>
      <c r="G365" s="28"/>
    </row>
    <row r="366" spans="1:20" ht="12.75" customHeight="1">
      <c r="A366" s="766"/>
      <c r="B366" s="506">
        <v>107013</v>
      </c>
      <c r="C366" s="507" t="s">
        <v>521</v>
      </c>
      <c r="D366" s="26"/>
      <c r="E366" s="26"/>
      <c r="F366" s="26"/>
      <c r="G366" s="28"/>
    </row>
    <row r="367" spans="1:20" ht="12.75" customHeight="1">
      <c r="A367" s="766"/>
      <c r="B367" s="506">
        <v>104042</v>
      </c>
      <c r="C367" s="507" t="s">
        <v>522</v>
      </c>
      <c r="D367" s="26"/>
      <c r="E367" s="26"/>
      <c r="F367" s="26"/>
      <c r="G367" s="28"/>
    </row>
    <row r="368" spans="1:20" ht="12.75" customHeight="1">
      <c r="A368" s="766"/>
      <c r="B368" s="506">
        <v>104043</v>
      </c>
      <c r="C368" s="507" t="s">
        <v>523</v>
      </c>
      <c r="D368" s="26"/>
      <c r="E368" s="26"/>
      <c r="F368" s="26"/>
      <c r="G368" s="28"/>
    </row>
    <row r="369" spans="1:20" ht="12.75" customHeight="1">
      <c r="A369" s="766"/>
      <c r="B369" s="506">
        <v>104031</v>
      </c>
      <c r="C369" s="507" t="s">
        <v>524</v>
      </c>
      <c r="D369" s="26"/>
      <c r="E369" s="26"/>
      <c r="F369" s="26"/>
      <c r="G369" s="28"/>
    </row>
    <row r="370" spans="1:20" ht="12.75" customHeight="1">
      <c r="A370" s="766"/>
      <c r="B370" s="506">
        <v>104035</v>
      </c>
      <c r="C370" s="507" t="s">
        <v>525</v>
      </c>
      <c r="D370" s="26"/>
      <c r="E370" s="26"/>
      <c r="F370" s="26"/>
      <c r="G370" s="28"/>
    </row>
    <row r="371" spans="1:20" s="680" customFormat="1" ht="12.75" customHeight="1">
      <c r="A371" s="766"/>
      <c r="B371" s="506">
        <v>104036</v>
      </c>
      <c r="C371" s="507" t="s">
        <v>526</v>
      </c>
      <c r="D371" s="26"/>
      <c r="E371" s="26"/>
      <c r="F371" s="26"/>
      <c r="G371" s="28"/>
      <c r="H371" s="679"/>
      <c r="I371" s="679"/>
      <c r="J371" s="678"/>
      <c r="K371" s="678"/>
      <c r="L371" s="679"/>
      <c r="M371" s="679"/>
      <c r="N371" s="679"/>
      <c r="O371" s="679"/>
      <c r="P371" s="679"/>
      <c r="Q371" s="679"/>
      <c r="R371" s="679"/>
      <c r="S371" s="679"/>
      <c r="T371" s="679"/>
    </row>
    <row r="372" spans="1:20" s="687" customFormat="1" ht="12.75" customHeight="1">
      <c r="A372" s="767" t="s">
        <v>528</v>
      </c>
      <c r="B372" s="767"/>
      <c r="C372" s="767"/>
      <c r="D372" s="27">
        <f>SUM(D373+D382+D389)</f>
        <v>800000</v>
      </c>
      <c r="E372" s="27">
        <f>SUM(E373+E382+E389)</f>
        <v>800000</v>
      </c>
      <c r="F372" s="27">
        <f>SUM(F373+F382+F389)</f>
        <v>800000</v>
      </c>
      <c r="G372" s="29">
        <f>ROUND(F372/E372*100,2)</f>
        <v>100</v>
      </c>
      <c r="H372" s="679"/>
      <c r="I372" s="679"/>
      <c r="J372" s="678"/>
      <c r="K372" s="678"/>
      <c r="L372" s="679"/>
      <c r="M372" s="679"/>
      <c r="N372" s="679"/>
      <c r="O372" s="679"/>
      <c r="P372" s="679"/>
      <c r="Q372" s="679"/>
      <c r="R372" s="679"/>
      <c r="S372" s="679"/>
      <c r="T372" s="679"/>
    </row>
    <row r="373" spans="1:20" ht="12.75" customHeight="1">
      <c r="A373" s="768" t="s">
        <v>530</v>
      </c>
      <c r="B373" s="768"/>
      <c r="C373" s="768"/>
      <c r="D373" s="32">
        <f>SUM(D374:D381)</f>
        <v>450000</v>
      </c>
      <c r="E373" s="32">
        <f>SUM(E374:E381)</f>
        <v>450000</v>
      </c>
      <c r="F373" s="32">
        <f>SUM(F374:F381)</f>
        <v>450000</v>
      </c>
      <c r="G373" s="33">
        <f>ROUND(F373/E373*100,2)</f>
        <v>100</v>
      </c>
    </row>
    <row r="374" spans="1:20" ht="12.75" customHeight="1">
      <c r="A374" s="766"/>
      <c r="B374" s="506">
        <v>107052</v>
      </c>
      <c r="C374" s="507" t="s">
        <v>518</v>
      </c>
      <c r="D374" s="26"/>
      <c r="E374" s="26"/>
      <c r="F374" s="26"/>
      <c r="G374" s="28"/>
    </row>
    <row r="375" spans="1:20" ht="12.75" customHeight="1">
      <c r="A375" s="766"/>
      <c r="B375" s="506">
        <v>107053</v>
      </c>
      <c r="C375" s="507" t="s">
        <v>519</v>
      </c>
      <c r="D375" s="26"/>
      <c r="E375" s="26"/>
      <c r="F375" s="26"/>
      <c r="G375" s="28"/>
    </row>
    <row r="376" spans="1:20" ht="12.75" customHeight="1">
      <c r="A376" s="766"/>
      <c r="B376" s="506">
        <v>107051</v>
      </c>
      <c r="C376" s="507" t="s">
        <v>194</v>
      </c>
      <c r="D376" s="26"/>
      <c r="E376" s="26"/>
      <c r="F376" s="26"/>
      <c r="G376" s="28"/>
    </row>
    <row r="377" spans="1:20" ht="12.75" customHeight="1">
      <c r="A377" s="766"/>
      <c r="B377" s="506">
        <v>102031</v>
      </c>
      <c r="C377" s="507" t="s">
        <v>520</v>
      </c>
      <c r="D377" s="26"/>
      <c r="E377" s="26"/>
      <c r="F377" s="26"/>
      <c r="G377" s="28"/>
    </row>
    <row r="378" spans="1:20" ht="12.75" customHeight="1">
      <c r="A378" s="766"/>
      <c r="B378" s="506">
        <v>102032</v>
      </c>
      <c r="C378" s="507" t="s">
        <v>883</v>
      </c>
      <c r="D378" s="26"/>
      <c r="E378" s="26"/>
      <c r="F378" s="26"/>
      <c r="G378" s="28"/>
    </row>
    <row r="379" spans="1:20" ht="12.75" customHeight="1">
      <c r="A379" s="766"/>
      <c r="B379" s="506">
        <v>107013</v>
      </c>
      <c r="C379" s="507" t="s">
        <v>532</v>
      </c>
      <c r="D379" s="26"/>
      <c r="E379" s="26"/>
      <c r="F379" s="26"/>
      <c r="G379" s="28"/>
    </row>
    <row r="380" spans="1:20" ht="12.75" customHeight="1">
      <c r="A380" s="766"/>
      <c r="B380" s="508" t="s">
        <v>510</v>
      </c>
      <c r="C380" s="507" t="s">
        <v>533</v>
      </c>
      <c r="D380" s="26"/>
      <c r="E380" s="26"/>
      <c r="F380" s="26"/>
      <c r="G380" s="28"/>
    </row>
    <row r="381" spans="1:20" s="688" customFormat="1" ht="12.75" customHeight="1">
      <c r="A381" s="766"/>
      <c r="B381" s="508" t="s">
        <v>508</v>
      </c>
      <c r="C381" s="507" t="s">
        <v>516</v>
      </c>
      <c r="D381" s="26">
        <v>450000</v>
      </c>
      <c r="E381" s="26">
        <v>450000</v>
      </c>
      <c r="F381" s="26">
        <v>450000</v>
      </c>
      <c r="G381" s="28">
        <f>ROUND(F381/E381*100,2)</f>
        <v>100</v>
      </c>
      <c r="H381" s="679"/>
      <c r="I381" s="679"/>
      <c r="J381" s="678"/>
      <c r="K381" s="678"/>
      <c r="L381" s="679"/>
      <c r="M381" s="679"/>
      <c r="N381" s="679"/>
      <c r="O381" s="679"/>
      <c r="P381" s="679"/>
      <c r="Q381" s="679"/>
      <c r="R381" s="679"/>
      <c r="S381" s="679"/>
      <c r="T381" s="679"/>
    </row>
    <row r="382" spans="1:20" ht="12.75" customHeight="1">
      <c r="A382" s="769" t="s">
        <v>529</v>
      </c>
      <c r="B382" s="769"/>
      <c r="C382" s="769"/>
      <c r="D382" s="36">
        <f>SUM(D383:D388)</f>
        <v>250000</v>
      </c>
      <c r="E382" s="36">
        <f>SUM(E383:E388)</f>
        <v>250000</v>
      </c>
      <c r="F382" s="36">
        <f>SUM(F383:F388)</f>
        <v>250000</v>
      </c>
      <c r="G382" s="37">
        <f>ROUND(F382/E382*100,2)</f>
        <v>100</v>
      </c>
    </row>
    <row r="383" spans="1:20" ht="12.75" customHeight="1">
      <c r="A383" s="766"/>
      <c r="B383" s="506">
        <v>104042</v>
      </c>
      <c r="C383" s="507" t="s">
        <v>522</v>
      </c>
      <c r="D383" s="26"/>
      <c r="E383" s="26"/>
      <c r="F383" s="26"/>
      <c r="G383" s="28"/>
    </row>
    <row r="384" spans="1:20">
      <c r="A384" s="766"/>
      <c r="B384" s="506">
        <v>104043</v>
      </c>
      <c r="C384" s="507" t="s">
        <v>523</v>
      </c>
      <c r="D384" s="26"/>
      <c r="E384" s="26"/>
      <c r="F384" s="26"/>
      <c r="G384" s="28"/>
    </row>
    <row r="385" spans="1:20" ht="12.75" customHeight="1">
      <c r="A385" s="766"/>
      <c r="B385" s="508" t="s">
        <v>508</v>
      </c>
      <c r="C385" s="510" t="s">
        <v>1191</v>
      </c>
      <c r="D385" s="26"/>
      <c r="E385" s="26"/>
      <c r="F385" s="26"/>
      <c r="G385" s="28"/>
    </row>
    <row r="386" spans="1:20" ht="12.75" customHeight="1">
      <c r="A386" s="766"/>
      <c r="B386" s="508" t="s">
        <v>848</v>
      </c>
      <c r="C386" s="510" t="s">
        <v>1191</v>
      </c>
      <c r="D386" s="26"/>
      <c r="E386" s="26"/>
      <c r="F386" s="26"/>
      <c r="G386" s="28"/>
    </row>
    <row r="387" spans="1:20" ht="12.75" customHeight="1">
      <c r="A387" s="766"/>
      <c r="B387" s="508" t="s">
        <v>510</v>
      </c>
      <c r="C387" s="507" t="s">
        <v>533</v>
      </c>
      <c r="D387" s="26"/>
      <c r="E387" s="26"/>
      <c r="F387" s="26"/>
      <c r="G387" s="28"/>
    </row>
    <row r="388" spans="1:20" s="689" customFormat="1" ht="12.75" customHeight="1">
      <c r="A388" s="766"/>
      <c r="B388" s="508" t="s">
        <v>508</v>
      </c>
      <c r="C388" s="507" t="s">
        <v>516</v>
      </c>
      <c r="D388" s="26">
        <v>250000</v>
      </c>
      <c r="E388" s="26">
        <v>250000</v>
      </c>
      <c r="F388" s="26">
        <v>250000</v>
      </c>
      <c r="G388" s="28">
        <f>ROUND(F388/E388*100,2)</f>
        <v>100</v>
      </c>
      <c r="H388" s="679"/>
      <c r="I388" s="679"/>
      <c r="J388" s="678"/>
      <c r="K388" s="678"/>
      <c r="L388" s="679"/>
      <c r="M388" s="679"/>
      <c r="N388" s="679"/>
      <c r="O388" s="679"/>
      <c r="P388" s="679"/>
      <c r="Q388" s="679"/>
      <c r="R388" s="679"/>
      <c r="S388" s="679"/>
      <c r="T388" s="679"/>
    </row>
    <row r="389" spans="1:20" ht="12.75" customHeight="1">
      <c r="A389" s="770" t="s">
        <v>531</v>
      </c>
      <c r="B389" s="770"/>
      <c r="C389" s="770"/>
      <c r="D389" s="34">
        <f>SUM(D390:D395)</f>
        <v>100000</v>
      </c>
      <c r="E389" s="34">
        <f>SUM(E390:E395)</f>
        <v>100000</v>
      </c>
      <c r="F389" s="34">
        <f>SUM(F390:F395)</f>
        <v>100000</v>
      </c>
      <c r="G389" s="35">
        <v>0</v>
      </c>
    </row>
    <row r="390" spans="1:20" ht="12.75" customHeight="1">
      <c r="A390" s="766"/>
      <c r="B390" s="506">
        <v>104031</v>
      </c>
      <c r="C390" s="507" t="s">
        <v>524</v>
      </c>
      <c r="D390" s="26"/>
      <c r="E390" s="26"/>
      <c r="F390" s="26"/>
      <c r="G390" s="28"/>
    </row>
    <row r="391" spans="1:20" ht="12.75" customHeight="1">
      <c r="A391" s="766"/>
      <c r="B391" s="506">
        <v>104035</v>
      </c>
      <c r="C391" s="507" t="s">
        <v>525</v>
      </c>
      <c r="D391" s="26"/>
      <c r="E391" s="26"/>
      <c r="F391" s="26"/>
      <c r="G391" s="28"/>
    </row>
    <row r="392" spans="1:20" ht="12.75" customHeight="1">
      <c r="A392" s="766"/>
      <c r="B392" s="506">
        <v>104036</v>
      </c>
      <c r="C392" s="507" t="s">
        <v>526</v>
      </c>
      <c r="D392" s="26"/>
      <c r="E392" s="26"/>
      <c r="F392" s="26"/>
      <c r="G392" s="28"/>
    </row>
    <row r="393" spans="1:20" ht="12.75" customHeight="1">
      <c r="A393" s="766"/>
      <c r="B393" s="506">
        <v>104037</v>
      </c>
      <c r="C393" s="507" t="s">
        <v>534</v>
      </c>
      <c r="D393" s="26"/>
      <c r="E393" s="26"/>
      <c r="F393" s="26"/>
      <c r="G393" s="28"/>
    </row>
    <row r="394" spans="1:20" ht="12.75" customHeight="1">
      <c r="A394" s="766"/>
      <c r="B394" s="508" t="s">
        <v>510</v>
      </c>
      <c r="C394" s="507" t="s">
        <v>533</v>
      </c>
      <c r="D394" s="26"/>
      <c r="E394" s="26"/>
      <c r="F394" s="26"/>
      <c r="G394" s="28"/>
    </row>
    <row r="395" spans="1:20">
      <c r="A395" s="766"/>
      <c r="B395" s="508" t="s">
        <v>508</v>
      </c>
      <c r="C395" s="507" t="s">
        <v>516</v>
      </c>
      <c r="D395" s="26">
        <v>100000</v>
      </c>
      <c r="E395" s="26">
        <v>100000</v>
      </c>
      <c r="F395" s="26">
        <v>100000</v>
      </c>
      <c r="G395" s="28">
        <f>ROUND(F395/E395*100,2)</f>
        <v>100</v>
      </c>
    </row>
    <row r="396" spans="1:20">
      <c r="A396" s="715"/>
      <c r="G396" s="716"/>
    </row>
    <row r="397" spans="1:20">
      <c r="A397" s="715"/>
      <c r="G397" s="716"/>
    </row>
    <row r="398" spans="1:20" ht="15.75">
      <c r="A398" s="761" t="s">
        <v>892</v>
      </c>
      <c r="B398" s="761"/>
      <c r="C398" s="761"/>
      <c r="D398" s="38">
        <f>SUM(D400+D417)</f>
        <v>0</v>
      </c>
      <c r="E398" s="38">
        <f>SUM(E400+E417)</f>
        <v>0</v>
      </c>
      <c r="F398" s="38">
        <f>SUM(F400+F417)</f>
        <v>0</v>
      </c>
      <c r="G398" s="39">
        <v>0</v>
      </c>
    </row>
    <row r="399" spans="1:20">
      <c r="A399" s="764" t="s">
        <v>1</v>
      </c>
      <c r="B399" s="764"/>
      <c r="C399" s="764"/>
      <c r="D399" s="27">
        <f>SUM(D400)</f>
        <v>0</v>
      </c>
      <c r="E399" s="27">
        <f>SUM(E400)</f>
        <v>0</v>
      </c>
      <c r="F399" s="27">
        <f>SUM(F400)</f>
        <v>0</v>
      </c>
      <c r="G399" s="29">
        <v>0</v>
      </c>
    </row>
    <row r="400" spans="1:20">
      <c r="A400" s="765" t="s">
        <v>527</v>
      </c>
      <c r="B400" s="765"/>
      <c r="C400" s="765"/>
      <c r="D400" s="30">
        <f>SUM(D401:D416)</f>
        <v>0</v>
      </c>
      <c r="E400" s="30">
        <f>SUM(E401:E416)</f>
        <v>0</v>
      </c>
      <c r="F400" s="30">
        <f>SUM(F401:F416)</f>
        <v>0</v>
      </c>
      <c r="G400" s="31">
        <v>0</v>
      </c>
    </row>
    <row r="401" spans="1:7">
      <c r="A401" s="766"/>
      <c r="B401" s="508" t="s">
        <v>506</v>
      </c>
      <c r="C401" s="507" t="s">
        <v>512</v>
      </c>
      <c r="D401" s="26"/>
      <c r="E401" s="26"/>
      <c r="F401" s="26"/>
      <c r="G401" s="28"/>
    </row>
    <row r="402" spans="1:7">
      <c r="A402" s="766"/>
      <c r="B402" s="508" t="s">
        <v>507</v>
      </c>
      <c r="C402" s="507" t="s">
        <v>517</v>
      </c>
      <c r="D402" s="26"/>
      <c r="E402" s="26"/>
      <c r="F402" s="26"/>
      <c r="G402" s="28"/>
    </row>
    <row r="403" spans="1:7">
      <c r="A403" s="766"/>
      <c r="B403" s="506">
        <v>107052</v>
      </c>
      <c r="C403" s="507" t="s">
        <v>515</v>
      </c>
      <c r="D403" s="26"/>
      <c r="E403" s="26"/>
      <c r="F403" s="26"/>
      <c r="G403" s="28"/>
    </row>
    <row r="404" spans="1:7">
      <c r="A404" s="766"/>
      <c r="B404" s="508" t="s">
        <v>513</v>
      </c>
      <c r="C404" s="507" t="s">
        <v>514</v>
      </c>
      <c r="D404" s="26"/>
      <c r="E404" s="26"/>
      <c r="F404" s="26"/>
      <c r="G404" s="28"/>
    </row>
    <row r="405" spans="1:7">
      <c r="A405" s="766"/>
      <c r="B405" s="508" t="s">
        <v>508</v>
      </c>
      <c r="C405" s="507" t="s">
        <v>874</v>
      </c>
      <c r="D405" s="26"/>
      <c r="E405" s="26"/>
      <c r="F405" s="26"/>
      <c r="G405" s="28"/>
    </row>
    <row r="406" spans="1:7">
      <c r="A406" s="766"/>
      <c r="B406" s="508" t="s">
        <v>509</v>
      </c>
      <c r="C406" s="507" t="s">
        <v>511</v>
      </c>
      <c r="D406" s="26"/>
      <c r="E406" s="26"/>
      <c r="F406" s="26"/>
      <c r="G406" s="28"/>
    </row>
    <row r="407" spans="1:7">
      <c r="A407" s="766"/>
      <c r="B407" s="506">
        <v>107052</v>
      </c>
      <c r="C407" s="507" t="s">
        <v>518</v>
      </c>
      <c r="D407" s="26"/>
      <c r="E407" s="26"/>
      <c r="F407" s="26"/>
      <c r="G407" s="28"/>
    </row>
    <row r="408" spans="1:7">
      <c r="A408" s="766"/>
      <c r="B408" s="506">
        <v>107051</v>
      </c>
      <c r="C408" s="507" t="s">
        <v>194</v>
      </c>
      <c r="D408" s="26"/>
      <c r="E408" s="26"/>
      <c r="F408" s="26"/>
      <c r="G408" s="28"/>
    </row>
    <row r="409" spans="1:7">
      <c r="A409" s="766"/>
      <c r="B409" s="506">
        <v>107053</v>
      </c>
      <c r="C409" s="507" t="s">
        <v>519</v>
      </c>
      <c r="D409" s="26"/>
      <c r="E409" s="26"/>
      <c r="F409" s="26"/>
      <c r="G409" s="28"/>
    </row>
    <row r="410" spans="1:7">
      <c r="A410" s="766"/>
      <c r="B410" s="506">
        <v>102031</v>
      </c>
      <c r="C410" s="507" t="s">
        <v>520</v>
      </c>
      <c r="D410" s="26"/>
      <c r="E410" s="26"/>
      <c r="F410" s="26"/>
      <c r="G410" s="28"/>
    </row>
    <row r="411" spans="1:7">
      <c r="A411" s="766"/>
      <c r="B411" s="506">
        <v>107013</v>
      </c>
      <c r="C411" s="507" t="s">
        <v>521</v>
      </c>
      <c r="D411" s="26"/>
      <c r="E411" s="26"/>
      <c r="F411" s="26"/>
      <c r="G411" s="28"/>
    </row>
    <row r="412" spans="1:7">
      <c r="A412" s="766"/>
      <c r="B412" s="506">
        <v>104042</v>
      </c>
      <c r="C412" s="507" t="s">
        <v>522</v>
      </c>
      <c r="D412" s="26"/>
      <c r="E412" s="26"/>
      <c r="F412" s="26"/>
      <c r="G412" s="28"/>
    </row>
    <row r="413" spans="1:7">
      <c r="A413" s="766"/>
      <c r="B413" s="506">
        <v>104043</v>
      </c>
      <c r="C413" s="507" t="s">
        <v>523</v>
      </c>
      <c r="D413" s="26"/>
      <c r="E413" s="26"/>
      <c r="F413" s="26"/>
      <c r="G413" s="28"/>
    </row>
    <row r="414" spans="1:7">
      <c r="A414" s="766"/>
      <c r="B414" s="506">
        <v>104031</v>
      </c>
      <c r="C414" s="507" t="s">
        <v>524</v>
      </c>
      <c r="D414" s="26"/>
      <c r="E414" s="26"/>
      <c r="F414" s="26"/>
      <c r="G414" s="28"/>
    </row>
    <row r="415" spans="1:7">
      <c r="A415" s="766"/>
      <c r="B415" s="506">
        <v>104035</v>
      </c>
      <c r="C415" s="507" t="s">
        <v>525</v>
      </c>
      <c r="D415" s="26"/>
      <c r="E415" s="26"/>
      <c r="F415" s="26"/>
      <c r="G415" s="28"/>
    </row>
    <row r="416" spans="1:7">
      <c r="A416" s="766"/>
      <c r="B416" s="506">
        <v>104036</v>
      </c>
      <c r="C416" s="507" t="s">
        <v>526</v>
      </c>
      <c r="D416" s="26"/>
      <c r="E416" s="26"/>
      <c r="F416" s="26"/>
      <c r="G416" s="28"/>
    </row>
    <row r="417" spans="1:7">
      <c r="A417" s="767" t="s">
        <v>528</v>
      </c>
      <c r="B417" s="767"/>
      <c r="C417" s="767"/>
      <c r="D417" s="27">
        <f>SUM(D418+D427+D434)</f>
        <v>0</v>
      </c>
      <c r="E417" s="27">
        <f>SUM(E418+E427+E434)</f>
        <v>0</v>
      </c>
      <c r="F417" s="27">
        <f>SUM(F418+F427+F434)</f>
        <v>0</v>
      </c>
      <c r="G417" s="29">
        <v>0</v>
      </c>
    </row>
    <row r="418" spans="1:7">
      <c r="A418" s="768" t="s">
        <v>530</v>
      </c>
      <c r="B418" s="768"/>
      <c r="C418" s="768"/>
      <c r="D418" s="32">
        <f>SUM(D419:D426)</f>
        <v>0</v>
      </c>
      <c r="E418" s="32">
        <f>SUM(E419:E426)</f>
        <v>0</v>
      </c>
      <c r="F418" s="32">
        <f>SUM(F419:F426)</f>
        <v>0</v>
      </c>
      <c r="G418" s="33">
        <v>0</v>
      </c>
    </row>
    <row r="419" spans="1:7">
      <c r="A419" s="766"/>
      <c r="B419" s="506">
        <v>107052</v>
      </c>
      <c r="C419" s="507" t="s">
        <v>518</v>
      </c>
      <c r="D419" s="26">
        <v>0</v>
      </c>
      <c r="E419" s="26"/>
      <c r="F419" s="26"/>
      <c r="G419" s="28"/>
    </row>
    <row r="420" spans="1:7">
      <c r="A420" s="766"/>
      <c r="B420" s="506">
        <v>107053</v>
      </c>
      <c r="C420" s="507" t="s">
        <v>519</v>
      </c>
      <c r="D420" s="26"/>
      <c r="E420" s="26"/>
      <c r="F420" s="26"/>
      <c r="G420" s="28"/>
    </row>
    <row r="421" spans="1:7">
      <c r="A421" s="766"/>
      <c r="B421" s="506">
        <v>107051</v>
      </c>
      <c r="C421" s="507" t="s">
        <v>194</v>
      </c>
      <c r="D421" s="26"/>
      <c r="E421" s="26"/>
      <c r="F421" s="26"/>
      <c r="G421" s="28"/>
    </row>
    <row r="422" spans="1:7">
      <c r="A422" s="766"/>
      <c r="B422" s="506">
        <v>102031</v>
      </c>
      <c r="C422" s="507" t="s">
        <v>520</v>
      </c>
      <c r="D422" s="26">
        <v>0</v>
      </c>
      <c r="E422" s="26"/>
      <c r="F422" s="26"/>
      <c r="G422" s="28"/>
    </row>
    <row r="423" spans="1:7">
      <c r="A423" s="766"/>
      <c r="B423" s="506">
        <v>102032</v>
      </c>
      <c r="C423" s="507" t="s">
        <v>883</v>
      </c>
      <c r="D423" s="26"/>
      <c r="E423" s="26"/>
      <c r="F423" s="26"/>
      <c r="G423" s="28"/>
    </row>
    <row r="424" spans="1:7">
      <c r="A424" s="766"/>
      <c r="B424" s="506">
        <v>107013</v>
      </c>
      <c r="C424" s="507" t="s">
        <v>532</v>
      </c>
      <c r="D424" s="26"/>
      <c r="E424" s="26"/>
      <c r="F424" s="26"/>
      <c r="G424" s="28"/>
    </row>
    <row r="425" spans="1:7">
      <c r="A425" s="766"/>
      <c r="B425" s="508" t="s">
        <v>510</v>
      </c>
      <c r="C425" s="507" t="s">
        <v>533</v>
      </c>
      <c r="D425" s="26"/>
      <c r="E425" s="26"/>
      <c r="F425" s="26"/>
      <c r="G425" s="28"/>
    </row>
    <row r="426" spans="1:7">
      <c r="A426" s="766"/>
      <c r="B426" s="508" t="s">
        <v>508</v>
      </c>
      <c r="C426" s="507" t="s">
        <v>516</v>
      </c>
      <c r="D426" s="26"/>
      <c r="E426" s="26"/>
      <c r="F426" s="26"/>
      <c r="G426" s="28"/>
    </row>
    <row r="427" spans="1:7">
      <c r="A427" s="769" t="s">
        <v>529</v>
      </c>
      <c r="B427" s="769"/>
      <c r="C427" s="769"/>
      <c r="D427" s="36">
        <f>SUM(D428:D433)</f>
        <v>0</v>
      </c>
      <c r="E427" s="36">
        <f>SUM(E428:E433)</f>
        <v>0</v>
      </c>
      <c r="F427" s="36">
        <f>SUM(F428:F433)</f>
        <v>0</v>
      </c>
      <c r="G427" s="37">
        <v>0</v>
      </c>
    </row>
    <row r="428" spans="1:7">
      <c r="A428" s="766"/>
      <c r="B428" s="506">
        <v>104042</v>
      </c>
      <c r="C428" s="507" t="s">
        <v>522</v>
      </c>
      <c r="D428" s="26">
        <v>0</v>
      </c>
      <c r="E428" s="26"/>
      <c r="F428" s="26"/>
      <c r="G428" s="28"/>
    </row>
    <row r="429" spans="1:7">
      <c r="A429" s="766"/>
      <c r="B429" s="506">
        <v>104043</v>
      </c>
      <c r="C429" s="507" t="s">
        <v>523</v>
      </c>
      <c r="D429" s="26">
        <v>0</v>
      </c>
      <c r="E429" s="26"/>
      <c r="F429" s="26"/>
      <c r="G429" s="28"/>
    </row>
    <row r="430" spans="1:7">
      <c r="A430" s="766"/>
      <c r="B430" s="508" t="s">
        <v>508</v>
      </c>
      <c r="C430" s="510" t="s">
        <v>1191</v>
      </c>
      <c r="D430" s="26"/>
      <c r="E430" s="26"/>
      <c r="F430" s="26"/>
      <c r="G430" s="28"/>
    </row>
    <row r="431" spans="1:7">
      <c r="A431" s="766"/>
      <c r="B431" s="508" t="s">
        <v>848</v>
      </c>
      <c r="C431" s="510" t="s">
        <v>1191</v>
      </c>
      <c r="D431" s="26"/>
      <c r="E431" s="26"/>
      <c r="F431" s="26"/>
      <c r="G431" s="28"/>
    </row>
    <row r="432" spans="1:7">
      <c r="A432" s="766"/>
      <c r="B432" s="508" t="s">
        <v>510</v>
      </c>
      <c r="C432" s="507" t="s">
        <v>533</v>
      </c>
      <c r="D432" s="26"/>
      <c r="E432" s="26"/>
      <c r="F432" s="26"/>
      <c r="G432" s="28"/>
    </row>
    <row r="433" spans="1:7">
      <c r="A433" s="766"/>
      <c r="B433" s="508" t="s">
        <v>508</v>
      </c>
      <c r="C433" s="507" t="s">
        <v>516</v>
      </c>
      <c r="D433" s="26"/>
      <c r="E433" s="26"/>
      <c r="F433" s="26"/>
      <c r="G433" s="28"/>
    </row>
    <row r="434" spans="1:7">
      <c r="A434" s="770" t="s">
        <v>531</v>
      </c>
      <c r="B434" s="770"/>
      <c r="C434" s="770"/>
      <c r="D434" s="34">
        <f>SUM(D435:D440)</f>
        <v>0</v>
      </c>
      <c r="E434" s="34">
        <f>SUM(E435:E440)</f>
        <v>0</v>
      </c>
      <c r="F434" s="34">
        <f>SUM(F435:F440)</f>
        <v>0</v>
      </c>
      <c r="G434" s="35">
        <v>0</v>
      </c>
    </row>
    <row r="435" spans="1:7">
      <c r="A435" s="766"/>
      <c r="B435" s="506">
        <v>104031</v>
      </c>
      <c r="C435" s="507" t="s">
        <v>524</v>
      </c>
      <c r="D435" s="26"/>
      <c r="E435" s="26"/>
      <c r="F435" s="26"/>
      <c r="G435" s="28"/>
    </row>
    <row r="436" spans="1:7">
      <c r="A436" s="766"/>
      <c r="B436" s="506">
        <v>104035</v>
      </c>
      <c r="C436" s="507" t="s">
        <v>525</v>
      </c>
      <c r="D436" s="26">
        <v>0</v>
      </c>
      <c r="E436" s="26">
        <v>0</v>
      </c>
      <c r="F436" s="26">
        <v>0</v>
      </c>
      <c r="G436" s="28">
        <v>0</v>
      </c>
    </row>
    <row r="437" spans="1:7">
      <c r="A437" s="766"/>
      <c r="B437" s="506">
        <v>104036</v>
      </c>
      <c r="C437" s="507" t="s">
        <v>526</v>
      </c>
      <c r="D437" s="26"/>
      <c r="E437" s="26"/>
      <c r="F437" s="26"/>
      <c r="G437" s="28"/>
    </row>
    <row r="438" spans="1:7">
      <c r="A438" s="766"/>
      <c r="B438" s="506">
        <v>104037</v>
      </c>
      <c r="C438" s="507" t="s">
        <v>534</v>
      </c>
      <c r="D438" s="26"/>
      <c r="E438" s="26"/>
      <c r="F438" s="26"/>
      <c r="G438" s="28"/>
    </row>
    <row r="439" spans="1:7">
      <c r="A439" s="766"/>
      <c r="B439" s="508" t="s">
        <v>510</v>
      </c>
      <c r="C439" s="507" t="s">
        <v>533</v>
      </c>
      <c r="D439" s="26"/>
      <c r="E439" s="26"/>
      <c r="F439" s="26"/>
      <c r="G439" s="28"/>
    </row>
    <row r="440" spans="1:7">
      <c r="A440" s="766"/>
      <c r="B440" s="508" t="s">
        <v>508</v>
      </c>
      <c r="C440" s="507" t="s">
        <v>516</v>
      </c>
      <c r="D440" s="26"/>
      <c r="E440" s="26"/>
      <c r="F440" s="26"/>
      <c r="G440" s="28"/>
    </row>
  </sheetData>
  <mergeCells count="110">
    <mergeCell ref="A399:C399"/>
    <mergeCell ref="A400:C400"/>
    <mergeCell ref="A401:A416"/>
    <mergeCell ref="A417:C417"/>
    <mergeCell ref="A435:A440"/>
    <mergeCell ref="A418:C418"/>
    <mergeCell ref="A419:A426"/>
    <mergeCell ref="A427:C427"/>
    <mergeCell ref="A428:A433"/>
    <mergeCell ref="A434:C434"/>
    <mergeCell ref="A1:G1"/>
    <mergeCell ref="A2:G2"/>
    <mergeCell ref="A3:G3"/>
    <mergeCell ref="A4:G5"/>
    <mergeCell ref="A6:A7"/>
    <mergeCell ref="B6:C6"/>
    <mergeCell ref="F6:G6"/>
    <mergeCell ref="D7:E7"/>
    <mergeCell ref="A398:C398"/>
    <mergeCell ref="A128:C128"/>
    <mergeCell ref="A129:C129"/>
    <mergeCell ref="A60:C60"/>
    <mergeCell ref="A61:C61"/>
    <mergeCell ref="A62:C62"/>
    <mergeCell ref="A63:A80"/>
    <mergeCell ref="A81:C81"/>
    <mergeCell ref="A82:C82"/>
    <mergeCell ref="D8:G8"/>
    <mergeCell ref="A9:C9"/>
    <mergeCell ref="A10:C10"/>
    <mergeCell ref="A11:C11"/>
    <mergeCell ref="A12:A33"/>
    <mergeCell ref="A34:C34"/>
    <mergeCell ref="A91:C91"/>
    <mergeCell ref="A92:A97"/>
    <mergeCell ref="A35:C35"/>
    <mergeCell ref="A36:A43"/>
    <mergeCell ref="A44:C44"/>
    <mergeCell ref="A45:A50"/>
    <mergeCell ref="A51:C51"/>
    <mergeCell ref="A52:A57"/>
    <mergeCell ref="A83:A90"/>
    <mergeCell ref="A98:C98"/>
    <mergeCell ref="A99:A104"/>
    <mergeCell ref="A178:A185"/>
    <mergeCell ref="A186:C186"/>
    <mergeCell ref="A187:A192"/>
    <mergeCell ref="A193:C193"/>
    <mergeCell ref="A194:A199"/>
    <mergeCell ref="A200:G201"/>
    <mergeCell ref="A157:A175"/>
    <mergeCell ref="A176:C176"/>
    <mergeCell ref="A177:C177"/>
    <mergeCell ref="A130:A137"/>
    <mergeCell ref="A138:C138"/>
    <mergeCell ref="A139:A144"/>
    <mergeCell ref="A145:C145"/>
    <mergeCell ref="A146:A151"/>
    <mergeCell ref="A154:C154"/>
    <mergeCell ref="A155:C155"/>
    <mergeCell ref="A156:C156"/>
    <mergeCell ref="A106:C106"/>
    <mergeCell ref="A107:C107"/>
    <mergeCell ref="A108:C108"/>
    <mergeCell ref="A109:A127"/>
    <mergeCell ref="A348:G349"/>
    <mergeCell ref="A350:C350"/>
    <mergeCell ref="A276:C276"/>
    <mergeCell ref="A277:A284"/>
    <mergeCell ref="A204:C204"/>
    <mergeCell ref="A205:C205"/>
    <mergeCell ref="A206:C206"/>
    <mergeCell ref="A207:A225"/>
    <mergeCell ref="A226:C226"/>
    <mergeCell ref="A227:C227"/>
    <mergeCell ref="A228:A235"/>
    <mergeCell ref="A236:C236"/>
    <mergeCell ref="A237:A242"/>
    <mergeCell ref="A342:A347"/>
    <mergeCell ref="A325:C325"/>
    <mergeCell ref="A326:A333"/>
    <mergeCell ref="A334:C334"/>
    <mergeCell ref="A335:A340"/>
    <mergeCell ref="A341:C341"/>
    <mergeCell ref="A301:C301"/>
    <mergeCell ref="A302:C302"/>
    <mergeCell ref="A303:C303"/>
    <mergeCell ref="A304:A323"/>
    <mergeCell ref="A324:C324"/>
    <mergeCell ref="A390:A395"/>
    <mergeCell ref="A372:C372"/>
    <mergeCell ref="A373:C373"/>
    <mergeCell ref="A374:A381"/>
    <mergeCell ref="A382:C382"/>
    <mergeCell ref="A383:A388"/>
    <mergeCell ref="A389:C389"/>
    <mergeCell ref="A351:C351"/>
    <mergeCell ref="A352:C352"/>
    <mergeCell ref="A353:A371"/>
    <mergeCell ref="A292:C292"/>
    <mergeCell ref="A293:A298"/>
    <mergeCell ref="A243:C243"/>
    <mergeCell ref="A244:A249"/>
    <mergeCell ref="A252:C252"/>
    <mergeCell ref="A253:C253"/>
    <mergeCell ref="A254:C254"/>
    <mergeCell ref="A255:A274"/>
    <mergeCell ref="A275:C275"/>
    <mergeCell ref="A285:C285"/>
    <mergeCell ref="A286:A291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headerFooter>
    <oddHeader>&amp;R3/c számú melléklet</oddHeader>
  </headerFooter>
  <rowBreaks count="8" manualBreakCount="8">
    <brk id="58" max="6" man="1"/>
    <brk id="105" max="6" man="1"/>
    <brk id="153" max="6" man="1"/>
    <brk id="201" max="6" man="1"/>
    <brk id="250" max="6" man="1"/>
    <brk id="299" max="6" man="1"/>
    <brk id="348" max="6" man="1"/>
    <brk id="396" max="6" man="1"/>
  </rowBreaks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23B4E-7C88-486C-B88E-764961D6EEA1}">
  <sheetPr>
    <tabColor theme="4" tint="0.59999389629810485"/>
  </sheetPr>
  <dimension ref="A1:W60"/>
  <sheetViews>
    <sheetView topLeftCell="A7" zoomScaleNormal="100" workbookViewId="0">
      <selection activeCell="G20" activeCellId="1" sqref="G16:G17 G20"/>
    </sheetView>
  </sheetViews>
  <sheetFormatPr defaultColWidth="9.140625" defaultRowHeight="12.75"/>
  <cols>
    <col min="1" max="1" width="15.85546875" style="50" customWidth="1"/>
    <col min="2" max="2" width="79.28515625" style="50" customWidth="1"/>
    <col min="3" max="3" width="17.42578125" style="50" bestFit="1" customWidth="1"/>
    <col min="4" max="4" width="9.42578125" style="51" bestFit="1" customWidth="1"/>
    <col min="5" max="6" width="18.85546875" style="50" bestFit="1" customWidth="1"/>
    <col min="7" max="7" width="17.7109375" style="53" bestFit="1" customWidth="1"/>
    <col min="8" max="23" width="9.140625" style="23"/>
    <col min="24" max="16384" width="9.140625" style="22"/>
  </cols>
  <sheetData>
    <row r="1" spans="1:23">
      <c r="A1" s="795" t="s">
        <v>1041</v>
      </c>
      <c r="B1" s="795"/>
      <c r="C1" s="795"/>
      <c r="D1" s="795"/>
      <c r="E1" s="795"/>
      <c r="F1" s="795"/>
      <c r="G1" s="795"/>
    </row>
    <row r="2" spans="1:23" s="66" customFormat="1" ht="19.5" customHeight="1">
      <c r="A2" s="796" t="s">
        <v>1042</v>
      </c>
      <c r="B2" s="796"/>
      <c r="C2" s="796"/>
      <c r="D2" s="796"/>
      <c r="E2" s="796"/>
      <c r="F2" s="796"/>
      <c r="G2" s="796"/>
      <c r="H2" s="64"/>
      <c r="I2" s="64"/>
      <c r="J2" s="64"/>
      <c r="K2" s="64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>
      <c r="A3" s="797"/>
      <c r="B3" s="797"/>
      <c r="C3" s="797"/>
      <c r="D3" s="797"/>
      <c r="E3" s="797"/>
      <c r="F3" s="57"/>
      <c r="G3" s="58"/>
      <c r="H3" s="46"/>
      <c r="I3" s="46"/>
      <c r="J3" s="46"/>
      <c r="K3" s="46"/>
    </row>
    <row r="4" spans="1:23">
      <c r="A4" s="798"/>
      <c r="B4" s="798"/>
      <c r="C4" s="798"/>
      <c r="D4" s="798"/>
      <c r="E4" s="798"/>
      <c r="F4" s="57"/>
      <c r="G4" s="58"/>
      <c r="H4" s="46"/>
      <c r="I4" s="46"/>
      <c r="J4" s="46"/>
      <c r="K4" s="46"/>
    </row>
    <row r="5" spans="1:23" s="56" customFormat="1" ht="29.25" customHeight="1">
      <c r="A5" s="760" t="s">
        <v>51</v>
      </c>
      <c r="B5" s="731" t="s">
        <v>76</v>
      </c>
      <c r="C5" s="799" t="s">
        <v>1047</v>
      </c>
      <c r="D5" s="800"/>
      <c r="E5" s="801"/>
      <c r="F5" s="609" t="s">
        <v>196</v>
      </c>
      <c r="G5" s="802" t="s">
        <v>124</v>
      </c>
      <c r="H5" s="59"/>
      <c r="I5" s="59"/>
      <c r="J5" s="59"/>
      <c r="K5" s="59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</row>
    <row r="6" spans="1:23" s="56" customFormat="1" ht="12.75" customHeight="1">
      <c r="A6" s="760"/>
      <c r="B6" s="731"/>
      <c r="C6" s="791" t="s">
        <v>1040</v>
      </c>
      <c r="D6" s="803" t="s">
        <v>52</v>
      </c>
      <c r="E6" s="791" t="s">
        <v>195</v>
      </c>
      <c r="F6" s="791"/>
      <c r="G6" s="802"/>
      <c r="H6" s="59"/>
      <c r="I6" s="59"/>
      <c r="J6" s="59"/>
      <c r="K6" s="59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</row>
    <row r="7" spans="1:23" s="56" customFormat="1">
      <c r="A7" s="760"/>
      <c r="B7" s="731"/>
      <c r="C7" s="791"/>
      <c r="D7" s="803"/>
      <c r="E7" s="791"/>
      <c r="F7" s="791"/>
      <c r="G7" s="802"/>
      <c r="H7" s="59"/>
      <c r="I7" s="59"/>
      <c r="J7" s="59"/>
      <c r="K7" s="59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</row>
    <row r="8" spans="1:23" ht="20.100000000000001" customHeight="1">
      <c r="A8" s="226" t="s">
        <v>1048</v>
      </c>
      <c r="B8" s="227" t="s">
        <v>481</v>
      </c>
      <c r="C8" s="587"/>
      <c r="D8" s="47">
        <v>4256200</v>
      </c>
      <c r="E8" s="48">
        <v>37028940</v>
      </c>
      <c r="F8" s="48">
        <v>37028940</v>
      </c>
      <c r="G8" s="52">
        <f>F8-E8</f>
        <v>0</v>
      </c>
      <c r="H8" s="46"/>
      <c r="I8" s="46"/>
      <c r="J8" s="46"/>
      <c r="K8" s="46"/>
    </row>
    <row r="9" spans="1:23" ht="20.100000000000001" customHeight="1">
      <c r="A9" s="226" t="s">
        <v>1049</v>
      </c>
      <c r="B9" s="227" t="s">
        <v>482</v>
      </c>
      <c r="C9" s="47"/>
      <c r="D9" s="47">
        <v>3828555</v>
      </c>
      <c r="E9" s="48">
        <v>22588475</v>
      </c>
      <c r="F9" s="48">
        <v>22588475</v>
      </c>
      <c r="G9" s="52">
        <f t="shared" ref="G9:G15" si="0">F9-E9</f>
        <v>0</v>
      </c>
      <c r="H9" s="46"/>
      <c r="I9" s="46"/>
      <c r="J9" s="46"/>
      <c r="K9" s="46"/>
    </row>
    <row r="10" spans="1:23" ht="18.75" customHeight="1">
      <c r="A10" s="226" t="s">
        <v>1050</v>
      </c>
      <c r="B10" s="227" t="s">
        <v>194</v>
      </c>
      <c r="C10" s="47">
        <v>73</v>
      </c>
      <c r="D10" s="47">
        <v>67570</v>
      </c>
      <c r="E10" s="48">
        <v>4932610</v>
      </c>
      <c r="F10" s="588">
        <v>5067750</v>
      </c>
      <c r="G10" s="52">
        <f t="shared" si="0"/>
        <v>135140</v>
      </c>
      <c r="H10" s="46"/>
      <c r="I10" s="46"/>
      <c r="J10" s="46"/>
      <c r="K10" s="46"/>
    </row>
    <row r="11" spans="1:23" ht="20.100000000000001" customHeight="1">
      <c r="A11" s="226" t="s">
        <v>1051</v>
      </c>
      <c r="B11" s="227" t="s">
        <v>1052</v>
      </c>
      <c r="C11" s="47">
        <v>56</v>
      </c>
      <c r="D11" s="47">
        <v>25000</v>
      </c>
      <c r="E11" s="48">
        <v>1400000</v>
      </c>
      <c r="F11" s="588">
        <v>1525000</v>
      </c>
      <c r="G11" s="52">
        <f t="shared" si="0"/>
        <v>125000</v>
      </c>
      <c r="H11" s="46"/>
      <c r="I11" s="46"/>
      <c r="J11" s="46"/>
      <c r="K11" s="46"/>
    </row>
    <row r="12" spans="1:23" ht="20.100000000000001" customHeight="1">
      <c r="A12" s="226" t="s">
        <v>1054</v>
      </c>
      <c r="B12" s="227" t="s">
        <v>1053</v>
      </c>
      <c r="C12" s="47">
        <v>254</v>
      </c>
      <c r="D12" s="47">
        <v>491550</v>
      </c>
      <c r="E12" s="48">
        <v>124853700</v>
      </c>
      <c r="F12" s="588">
        <v>125345250</v>
      </c>
      <c r="G12" s="52">
        <f t="shared" si="0"/>
        <v>491550</v>
      </c>
      <c r="H12" s="46"/>
      <c r="I12" s="46"/>
      <c r="J12" s="46"/>
      <c r="K12" s="46"/>
    </row>
    <row r="13" spans="1:23" ht="20.100000000000001" customHeight="1">
      <c r="A13" s="226" t="s">
        <v>1055</v>
      </c>
      <c r="B13" s="227" t="s">
        <v>964</v>
      </c>
      <c r="C13" s="47">
        <v>10</v>
      </c>
      <c r="D13" s="47">
        <v>821200</v>
      </c>
      <c r="E13" s="48">
        <v>8212000</v>
      </c>
      <c r="F13" s="588">
        <v>7390800</v>
      </c>
      <c r="G13" s="52">
        <f t="shared" si="0"/>
        <v>-821200</v>
      </c>
      <c r="H13" s="46"/>
      <c r="I13" s="46"/>
      <c r="J13" s="46"/>
      <c r="K13" s="46"/>
    </row>
    <row r="14" spans="1:23" ht="20.100000000000001" customHeight="1">
      <c r="A14" s="226" t="s">
        <v>1056</v>
      </c>
      <c r="B14" s="227" t="s">
        <v>235</v>
      </c>
      <c r="C14" s="47">
        <v>30</v>
      </c>
      <c r="D14" s="47">
        <v>336285</v>
      </c>
      <c r="E14" s="48">
        <v>10088550</v>
      </c>
      <c r="F14" s="588">
        <v>10088550</v>
      </c>
      <c r="G14" s="52">
        <f t="shared" si="0"/>
        <v>0</v>
      </c>
      <c r="H14" s="46"/>
      <c r="I14" s="46"/>
      <c r="J14" s="46"/>
      <c r="K14" s="46"/>
    </row>
    <row r="15" spans="1:23" s="189" customFormat="1" ht="20.100000000000001" customHeight="1">
      <c r="A15" s="226" t="s">
        <v>1057</v>
      </c>
      <c r="B15" s="227" t="s">
        <v>236</v>
      </c>
      <c r="C15" s="47">
        <v>21</v>
      </c>
      <c r="D15" s="47">
        <v>680108</v>
      </c>
      <c r="E15" s="48">
        <v>14282268</v>
      </c>
      <c r="F15" s="49">
        <v>14282268</v>
      </c>
      <c r="G15" s="52">
        <f t="shared" si="0"/>
        <v>0</v>
      </c>
      <c r="H15" s="164"/>
      <c r="I15" s="164"/>
      <c r="J15" s="164"/>
      <c r="K15" s="164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</row>
    <row r="16" spans="1:23" s="23" customFormat="1" ht="31.5" customHeight="1">
      <c r="A16" s="226" t="s">
        <v>1058</v>
      </c>
      <c r="B16" s="227" t="s">
        <v>915</v>
      </c>
      <c r="C16" s="570">
        <v>4</v>
      </c>
      <c r="D16" s="47">
        <v>5100000</v>
      </c>
      <c r="E16" s="48">
        <v>20400000</v>
      </c>
      <c r="F16" s="588">
        <v>19380000</v>
      </c>
      <c r="G16" s="52">
        <f>F16-E16</f>
        <v>-1020000</v>
      </c>
      <c r="H16" s="46"/>
      <c r="I16" s="46"/>
      <c r="J16" s="46"/>
      <c r="K16" s="46"/>
    </row>
    <row r="17" spans="1:11" s="23" customFormat="1" ht="31.5" customHeight="1">
      <c r="A17" s="226" t="s">
        <v>1059</v>
      </c>
      <c r="B17" s="227" t="s">
        <v>916</v>
      </c>
      <c r="C17" s="570">
        <v>8.1</v>
      </c>
      <c r="D17" s="47">
        <v>4260000</v>
      </c>
      <c r="E17" s="48">
        <v>34506000</v>
      </c>
      <c r="F17" s="588">
        <v>35358000</v>
      </c>
      <c r="G17" s="52">
        <f>F17-E17</f>
        <v>852000</v>
      </c>
      <c r="H17" s="46"/>
      <c r="I17" s="46"/>
      <c r="J17" s="46"/>
      <c r="K17" s="46"/>
    </row>
    <row r="18" spans="1:11" s="23" customFormat="1" ht="32.25" customHeight="1">
      <c r="A18" s="478" t="s">
        <v>1060</v>
      </c>
      <c r="B18" s="227" t="s">
        <v>919</v>
      </c>
      <c r="C18" s="570"/>
      <c r="D18" s="47"/>
      <c r="E18" s="48">
        <v>11952000</v>
      </c>
      <c r="F18" s="588">
        <v>11952000</v>
      </c>
      <c r="G18" s="52">
        <f>F18-E18</f>
        <v>0</v>
      </c>
      <c r="H18" s="46"/>
      <c r="I18" s="46"/>
      <c r="J18" s="46"/>
      <c r="K18" s="46"/>
    </row>
    <row r="19" spans="1:11" s="60" customFormat="1" ht="25.5" customHeight="1">
      <c r="A19" s="604" t="s">
        <v>1061</v>
      </c>
      <c r="B19" s="605" t="s">
        <v>1062</v>
      </c>
      <c r="C19" s="606"/>
      <c r="D19" s="607"/>
      <c r="E19" s="608">
        <f>SUM(E8:E18)</f>
        <v>290244543</v>
      </c>
      <c r="F19" s="608">
        <f>SUM(F8:F18)</f>
        <v>290007033</v>
      </c>
      <c r="G19" s="608">
        <f>SUM(G8:G18)</f>
        <v>-237510</v>
      </c>
      <c r="H19" s="59"/>
      <c r="I19" s="59"/>
      <c r="J19" s="59"/>
      <c r="K19" s="59"/>
    </row>
    <row r="20" spans="1:11" s="23" customFormat="1" ht="18.75" customHeight="1">
      <c r="A20" s="226" t="s">
        <v>1065</v>
      </c>
      <c r="B20" s="227" t="s">
        <v>253</v>
      </c>
      <c r="C20" s="47">
        <v>2</v>
      </c>
      <c r="D20" s="47"/>
      <c r="E20" s="48">
        <v>3772218</v>
      </c>
      <c r="F20" s="49">
        <v>3592112</v>
      </c>
      <c r="G20" s="52">
        <f t="shared" ref="G20:G21" si="1">F20-E20</f>
        <v>-180106</v>
      </c>
    </row>
    <row r="21" spans="1:11" s="23" customFormat="1" ht="20.25" customHeight="1">
      <c r="A21" s="226" t="s">
        <v>1066</v>
      </c>
      <c r="B21" s="227" t="s">
        <v>254</v>
      </c>
      <c r="C21" s="47"/>
      <c r="D21" s="47"/>
      <c r="E21" s="48">
        <v>7530881</v>
      </c>
      <c r="F21" s="49">
        <v>7530881</v>
      </c>
      <c r="G21" s="52">
        <f t="shared" si="1"/>
        <v>0</v>
      </c>
    </row>
    <row r="22" spans="1:11" s="60" customFormat="1" ht="25.5" customHeight="1">
      <c r="A22" s="604" t="s">
        <v>1063</v>
      </c>
      <c r="B22" s="605" t="s">
        <v>1064</v>
      </c>
      <c r="C22" s="606"/>
      <c r="D22" s="607"/>
      <c r="E22" s="608">
        <f>SUM(E20:E21)</f>
        <v>11303099</v>
      </c>
      <c r="F22" s="608">
        <f t="shared" ref="F22:G22" si="2">SUM(F20:F21)</f>
        <v>11122993</v>
      </c>
      <c r="G22" s="608">
        <f t="shared" si="2"/>
        <v>-180106</v>
      </c>
      <c r="H22" s="59"/>
      <c r="I22" s="59"/>
      <c r="J22" s="59"/>
      <c r="K22" s="59"/>
    </row>
    <row r="23" spans="1:11" s="23" customFormat="1" ht="15.75">
      <c r="A23" s="792" t="s">
        <v>73</v>
      </c>
      <c r="B23" s="793"/>
      <c r="C23" s="793"/>
      <c r="D23" s="794"/>
      <c r="E23" s="616">
        <f>E19+E22</f>
        <v>301547642</v>
      </c>
      <c r="F23" s="616">
        <f t="shared" ref="F23:G23" si="3">F19+F22</f>
        <v>301130026</v>
      </c>
      <c r="G23" s="616">
        <f t="shared" si="3"/>
        <v>-417616</v>
      </c>
    </row>
    <row r="24" spans="1:11" s="23" customFormat="1">
      <c r="A24" s="61"/>
      <c r="B24" s="61"/>
      <c r="C24" s="61"/>
      <c r="D24" s="62"/>
      <c r="E24" s="61"/>
      <c r="F24" s="61"/>
      <c r="G24" s="63"/>
    </row>
    <row r="25" spans="1:11" s="23" customFormat="1">
      <c r="A25" s="61"/>
      <c r="B25" s="61"/>
      <c r="C25" s="61"/>
      <c r="D25" s="62"/>
      <c r="E25" s="61"/>
      <c r="F25" s="61"/>
      <c r="G25" s="63"/>
    </row>
    <row r="26" spans="1:11" s="23" customFormat="1">
      <c r="A26" s="61"/>
      <c r="B26" s="61"/>
      <c r="C26" s="589"/>
      <c r="D26" s="62"/>
      <c r="E26" s="61"/>
      <c r="F26" s="61"/>
      <c r="G26" s="63"/>
    </row>
    <row r="27" spans="1:11" s="23" customFormat="1">
      <c r="A27" s="61"/>
      <c r="B27" s="61"/>
      <c r="C27" s="61"/>
      <c r="D27" s="62"/>
      <c r="E27" s="61"/>
      <c r="F27" s="61"/>
      <c r="G27" s="63"/>
    </row>
    <row r="28" spans="1:11" s="23" customFormat="1">
      <c r="A28" s="61"/>
      <c r="B28" s="61"/>
      <c r="C28" s="61"/>
      <c r="D28" s="62"/>
      <c r="E28" s="61"/>
      <c r="F28" s="61"/>
      <c r="G28" s="63"/>
    </row>
    <row r="29" spans="1:11" s="23" customFormat="1">
      <c r="A29" s="61"/>
      <c r="B29" s="61"/>
      <c r="C29" s="61"/>
      <c r="D29" s="62"/>
      <c r="E29" s="61"/>
      <c r="F29" s="61"/>
      <c r="G29" s="63"/>
    </row>
    <row r="30" spans="1:11" s="23" customFormat="1">
      <c r="A30" s="61"/>
      <c r="B30" s="61"/>
      <c r="C30" s="61"/>
      <c r="D30" s="62"/>
      <c r="E30" s="61"/>
      <c r="F30" s="61"/>
      <c r="G30" s="63"/>
    </row>
    <row r="31" spans="1:11" s="23" customFormat="1">
      <c r="A31" s="61"/>
      <c r="B31" s="61"/>
      <c r="C31" s="61"/>
      <c r="D31" s="62"/>
      <c r="E31" s="61"/>
      <c r="F31" s="61"/>
      <c r="G31" s="63"/>
    </row>
    <row r="32" spans="1:11" s="23" customFormat="1">
      <c r="A32" s="61"/>
      <c r="B32" s="61"/>
      <c r="C32" s="61"/>
      <c r="D32" s="62"/>
      <c r="E32" s="61"/>
      <c r="F32" s="61"/>
      <c r="G32" s="63"/>
    </row>
    <row r="33" spans="1:7" s="23" customFormat="1">
      <c r="A33" s="61"/>
      <c r="B33" s="61"/>
      <c r="C33" s="61"/>
      <c r="D33" s="62"/>
      <c r="E33" s="61"/>
      <c r="F33" s="61"/>
      <c r="G33" s="63"/>
    </row>
    <row r="34" spans="1:7" s="23" customFormat="1">
      <c r="A34" s="61"/>
      <c r="B34" s="61"/>
      <c r="C34" s="61"/>
      <c r="D34" s="62"/>
      <c r="E34" s="61"/>
      <c r="F34" s="61"/>
      <c r="G34" s="63"/>
    </row>
    <row r="35" spans="1:7" s="23" customFormat="1">
      <c r="A35" s="61"/>
      <c r="B35" s="61"/>
      <c r="C35" s="61"/>
      <c r="D35" s="62"/>
      <c r="E35" s="61"/>
      <c r="F35" s="61"/>
      <c r="G35" s="63"/>
    </row>
    <row r="36" spans="1:7" s="23" customFormat="1">
      <c r="A36" s="61"/>
      <c r="B36" s="61"/>
      <c r="C36" s="61"/>
      <c r="D36" s="62"/>
      <c r="E36" s="61"/>
      <c r="F36" s="61"/>
      <c r="G36" s="63"/>
    </row>
    <row r="37" spans="1:7" s="23" customFormat="1">
      <c r="A37" s="61"/>
      <c r="B37" s="61"/>
      <c r="C37" s="61"/>
      <c r="D37" s="62"/>
      <c r="E37" s="61"/>
      <c r="F37" s="61"/>
      <c r="G37" s="63"/>
    </row>
    <row r="38" spans="1:7" s="23" customFormat="1">
      <c r="A38" s="61"/>
      <c r="B38" s="61"/>
      <c r="C38" s="61"/>
      <c r="D38" s="62"/>
      <c r="E38" s="61"/>
      <c r="F38" s="61"/>
      <c r="G38" s="63"/>
    </row>
    <row r="39" spans="1:7" s="23" customFormat="1">
      <c r="A39" s="61"/>
      <c r="B39" s="61"/>
      <c r="C39" s="61"/>
      <c r="D39" s="62"/>
      <c r="E39" s="61"/>
      <c r="F39" s="61"/>
      <c r="G39" s="63"/>
    </row>
    <row r="40" spans="1:7" s="23" customFormat="1">
      <c r="A40" s="61"/>
      <c r="B40" s="61"/>
      <c r="C40" s="61"/>
      <c r="D40" s="62"/>
      <c r="E40" s="61"/>
      <c r="F40" s="61"/>
      <c r="G40" s="63"/>
    </row>
    <row r="41" spans="1:7" s="23" customFormat="1">
      <c r="A41" s="61"/>
      <c r="B41" s="61"/>
      <c r="C41" s="61"/>
      <c r="D41" s="62"/>
      <c r="E41" s="61"/>
      <c r="F41" s="61"/>
      <c r="G41" s="63"/>
    </row>
    <row r="42" spans="1:7" s="23" customFormat="1">
      <c r="A42" s="61"/>
      <c r="B42" s="61"/>
      <c r="C42" s="61"/>
      <c r="D42" s="62"/>
      <c r="E42" s="61"/>
      <c r="F42" s="61"/>
      <c r="G42" s="63"/>
    </row>
    <row r="43" spans="1:7" s="23" customFormat="1">
      <c r="A43" s="61"/>
      <c r="B43" s="61"/>
      <c r="C43" s="61"/>
      <c r="D43" s="62"/>
      <c r="E43" s="61"/>
      <c r="F43" s="61"/>
      <c r="G43" s="63"/>
    </row>
    <row r="44" spans="1:7" s="23" customFormat="1">
      <c r="A44" s="61"/>
      <c r="B44" s="61"/>
      <c r="C44" s="61"/>
      <c r="D44" s="62"/>
      <c r="E44" s="61"/>
      <c r="F44" s="61"/>
      <c r="G44" s="63"/>
    </row>
    <row r="45" spans="1:7" s="23" customFormat="1">
      <c r="A45" s="61"/>
      <c r="B45" s="61"/>
      <c r="C45" s="61"/>
      <c r="D45" s="62"/>
      <c r="E45" s="61"/>
      <c r="F45" s="61"/>
      <c r="G45" s="63"/>
    </row>
    <row r="46" spans="1:7" s="23" customFormat="1">
      <c r="A46" s="61"/>
      <c r="B46" s="61"/>
      <c r="C46" s="61"/>
      <c r="D46" s="62"/>
      <c r="E46" s="61"/>
      <c r="F46" s="61"/>
      <c r="G46" s="63"/>
    </row>
    <row r="47" spans="1:7" s="23" customFormat="1">
      <c r="A47" s="61"/>
      <c r="B47" s="61"/>
      <c r="C47" s="61"/>
      <c r="D47" s="62"/>
      <c r="E47" s="61"/>
      <c r="F47" s="61"/>
      <c r="G47" s="63"/>
    </row>
    <row r="48" spans="1:7" s="23" customFormat="1">
      <c r="A48" s="61"/>
      <c r="B48" s="61"/>
      <c r="C48" s="61"/>
      <c r="D48" s="62"/>
      <c r="E48" s="61"/>
      <c r="F48" s="61"/>
      <c r="G48" s="63"/>
    </row>
    <row r="49" spans="1:7" s="23" customFormat="1">
      <c r="A49" s="61"/>
      <c r="B49" s="61"/>
      <c r="C49" s="61"/>
      <c r="D49" s="62"/>
      <c r="E49" s="61"/>
      <c r="F49" s="61"/>
      <c r="G49" s="63"/>
    </row>
    <row r="50" spans="1:7" s="23" customFormat="1">
      <c r="A50" s="61"/>
      <c r="B50" s="61"/>
      <c r="C50" s="61"/>
      <c r="D50" s="62"/>
      <c r="E50" s="61"/>
      <c r="F50" s="61"/>
      <c r="G50" s="63"/>
    </row>
    <row r="51" spans="1:7" s="23" customFormat="1">
      <c r="A51" s="61"/>
      <c r="B51" s="61"/>
      <c r="C51" s="61"/>
      <c r="D51" s="62"/>
      <c r="E51" s="61"/>
      <c r="F51" s="61"/>
      <c r="G51" s="63"/>
    </row>
    <row r="52" spans="1:7" s="23" customFormat="1">
      <c r="A52" s="61"/>
      <c r="B52" s="61"/>
      <c r="C52" s="61"/>
      <c r="D52" s="62"/>
      <c r="E52" s="61"/>
      <c r="F52" s="61"/>
      <c r="G52" s="63"/>
    </row>
    <row r="53" spans="1:7" s="23" customFormat="1">
      <c r="A53" s="61"/>
      <c r="B53" s="61"/>
      <c r="C53" s="61"/>
      <c r="D53" s="62"/>
      <c r="E53" s="61"/>
      <c r="F53" s="61"/>
      <c r="G53" s="63"/>
    </row>
    <row r="54" spans="1:7" s="23" customFormat="1">
      <c r="A54" s="61"/>
      <c r="B54" s="61"/>
      <c r="C54" s="61"/>
      <c r="D54" s="62"/>
      <c r="E54" s="61"/>
      <c r="F54" s="61"/>
      <c r="G54" s="63"/>
    </row>
    <row r="55" spans="1:7" s="23" customFormat="1">
      <c r="A55" s="61"/>
      <c r="B55" s="61"/>
      <c r="C55" s="61"/>
      <c r="D55" s="62"/>
      <c r="E55" s="61"/>
      <c r="F55" s="61"/>
      <c r="G55" s="63"/>
    </row>
    <row r="56" spans="1:7" s="23" customFormat="1">
      <c r="A56" s="61"/>
      <c r="B56" s="61"/>
      <c r="C56" s="61"/>
      <c r="D56" s="62"/>
      <c r="E56" s="61"/>
      <c r="F56" s="61"/>
      <c r="G56" s="63"/>
    </row>
    <row r="57" spans="1:7" s="23" customFormat="1">
      <c r="A57" s="61"/>
      <c r="B57" s="61"/>
      <c r="C57" s="61"/>
      <c r="D57" s="62"/>
      <c r="E57" s="61"/>
      <c r="F57" s="61"/>
      <c r="G57" s="63"/>
    </row>
    <row r="58" spans="1:7" s="23" customFormat="1">
      <c r="A58" s="61"/>
      <c r="B58" s="61"/>
      <c r="C58" s="61"/>
      <c r="D58" s="62"/>
      <c r="E58" s="61"/>
      <c r="F58" s="61"/>
      <c r="G58" s="63"/>
    </row>
    <row r="59" spans="1:7" s="23" customFormat="1">
      <c r="A59" s="61"/>
      <c r="B59" s="61"/>
      <c r="C59" s="61"/>
      <c r="D59" s="62"/>
      <c r="E59" s="61"/>
      <c r="F59" s="61"/>
      <c r="G59" s="63"/>
    </row>
    <row r="60" spans="1:7" s="23" customFormat="1">
      <c r="A60" s="61"/>
      <c r="B60" s="61"/>
      <c r="C60" s="61"/>
      <c r="D60" s="62"/>
      <c r="E60" s="61"/>
      <c r="F60" s="61"/>
      <c r="G60" s="63"/>
    </row>
  </sheetData>
  <mergeCells count="12">
    <mergeCell ref="E6:F7"/>
    <mergeCell ref="A23:D23"/>
    <mergeCell ref="A1:G1"/>
    <mergeCell ref="A2:G2"/>
    <mergeCell ref="A3:E3"/>
    <mergeCell ref="A4:E4"/>
    <mergeCell ref="A5:A7"/>
    <mergeCell ref="B5:B7"/>
    <mergeCell ref="C5:E5"/>
    <mergeCell ref="G5:G7"/>
    <mergeCell ref="C6:C7"/>
    <mergeCell ref="D6:D7"/>
  </mergeCells>
  <pageMargins left="0.27559055118110237" right="0.15748031496062992" top="0.98425196850393704" bottom="0.98425196850393704" header="0.51181102362204722" footer="0.51181102362204722"/>
  <pageSetup paperSize="9" scale="82" orientation="landscape" r:id="rId1"/>
  <headerFooter alignWithMargins="0">
    <oddHeader>&amp;R4. 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37</vt:i4>
      </vt:variant>
      <vt:variant>
        <vt:lpstr>Névvel ellátott tartományok</vt:lpstr>
      </vt:variant>
      <vt:variant>
        <vt:i4>39</vt:i4>
      </vt:variant>
    </vt:vector>
  </HeadingPairs>
  <TitlesOfParts>
    <vt:vector size="76" baseType="lpstr">
      <vt:lpstr>1</vt:lpstr>
      <vt:lpstr>1a</vt:lpstr>
      <vt:lpstr>1b</vt:lpstr>
      <vt:lpstr>2</vt:lpstr>
      <vt:lpstr>3</vt:lpstr>
      <vt:lpstr>3a</vt:lpstr>
      <vt:lpstr>3b</vt:lpstr>
      <vt:lpstr>3c</vt:lpstr>
      <vt:lpstr>4</vt:lpstr>
      <vt:lpstr>4a</vt:lpstr>
      <vt:lpstr>4b</vt:lpstr>
      <vt:lpstr>4c</vt:lpstr>
      <vt:lpstr>4d</vt:lpstr>
      <vt:lpstr>5</vt:lpstr>
      <vt:lpstr>6</vt:lpstr>
      <vt:lpstr>7,7a</vt:lpstr>
      <vt:lpstr>8</vt:lpstr>
      <vt:lpstr>9</vt:lpstr>
      <vt:lpstr>10a</vt:lpstr>
      <vt:lpstr>10b</vt:lpstr>
      <vt:lpstr>10c</vt:lpstr>
      <vt:lpstr>10d</vt:lpstr>
      <vt:lpstr>10d2</vt:lpstr>
      <vt:lpstr>10e</vt:lpstr>
      <vt:lpstr>10f</vt:lpstr>
      <vt:lpstr>10g</vt:lpstr>
      <vt:lpstr>10h</vt:lpstr>
      <vt:lpstr>10i</vt:lpstr>
      <vt:lpstr>10j</vt:lpstr>
      <vt:lpstr>10k</vt:lpstr>
      <vt:lpstr>11</vt:lpstr>
      <vt:lpstr>12</vt:lpstr>
      <vt:lpstr>12a</vt:lpstr>
      <vt:lpstr>12b</vt:lpstr>
      <vt:lpstr>13a</vt:lpstr>
      <vt:lpstr>13b</vt:lpstr>
      <vt:lpstr>14</vt:lpstr>
      <vt:lpstr>'6'!Nyomtatási_cím</vt:lpstr>
      <vt:lpstr>'8'!Nyomtatási_cím</vt:lpstr>
      <vt:lpstr>'1'!Nyomtatási_terület</vt:lpstr>
      <vt:lpstr>'10a'!Nyomtatási_terület</vt:lpstr>
      <vt:lpstr>'10b'!Nyomtatási_terület</vt:lpstr>
      <vt:lpstr>'10c'!Nyomtatási_terület</vt:lpstr>
      <vt:lpstr>'10d'!Nyomtatási_terület</vt:lpstr>
      <vt:lpstr>'10d2'!Nyomtatási_terület</vt:lpstr>
      <vt:lpstr>'10e'!Nyomtatási_terület</vt:lpstr>
      <vt:lpstr>'10f'!Nyomtatási_terület</vt:lpstr>
      <vt:lpstr>'10g'!Nyomtatási_terület</vt:lpstr>
      <vt:lpstr>'10h'!Nyomtatási_terület</vt:lpstr>
      <vt:lpstr>'10i'!Nyomtatási_terület</vt:lpstr>
      <vt:lpstr>'10j'!Nyomtatási_terület</vt:lpstr>
      <vt:lpstr>'10k'!Nyomtatási_terület</vt:lpstr>
      <vt:lpstr>'11'!Nyomtatási_terület</vt:lpstr>
      <vt:lpstr>'12'!Nyomtatási_terület</vt:lpstr>
      <vt:lpstr>'12a'!Nyomtatási_terület</vt:lpstr>
      <vt:lpstr>'12b'!Nyomtatási_terület</vt:lpstr>
      <vt:lpstr>'13a'!Nyomtatási_terület</vt:lpstr>
      <vt:lpstr>'13b'!Nyomtatási_terület</vt:lpstr>
      <vt:lpstr>'14'!Nyomtatási_terület</vt:lpstr>
      <vt:lpstr>'1a'!Nyomtatási_terület</vt:lpstr>
      <vt:lpstr>'1b'!Nyomtatási_terület</vt:lpstr>
      <vt:lpstr>'2'!Nyomtatási_terület</vt:lpstr>
      <vt:lpstr>'3'!Nyomtatási_terület</vt:lpstr>
      <vt:lpstr>'3a'!Nyomtatási_terület</vt:lpstr>
      <vt:lpstr>'3b'!Nyomtatási_terület</vt:lpstr>
      <vt:lpstr>'3c'!Nyomtatási_terület</vt:lpstr>
      <vt:lpstr>'4'!Nyomtatási_terület</vt:lpstr>
      <vt:lpstr>'4a'!Nyomtatási_terület</vt:lpstr>
      <vt:lpstr>'4b'!Nyomtatási_terület</vt:lpstr>
      <vt:lpstr>'4c'!Nyomtatási_terület</vt:lpstr>
      <vt:lpstr>'4d'!Nyomtatási_terület</vt:lpstr>
      <vt:lpstr>'5'!Nyomtatási_terület</vt:lpstr>
      <vt:lpstr>'6'!Nyomtatási_terület</vt:lpstr>
      <vt:lpstr>'7,7a'!Nyomtatási_terület</vt:lpstr>
      <vt:lpstr>'8'!Nyomtatási_terület</vt:lpstr>
      <vt:lpstr>'9'!Nyomtatási_terület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GESZ - KOMLÓ</dc:creator>
  <cp:lastModifiedBy>Felhasználó</cp:lastModifiedBy>
  <cp:lastPrinted>2022-04-01T09:24:41Z</cp:lastPrinted>
  <dcterms:created xsi:type="dcterms:W3CDTF">2007-03-27T12:45:48Z</dcterms:created>
  <dcterms:modified xsi:type="dcterms:W3CDTF">2022-05-05T07:47:35Z</dcterms:modified>
</cp:coreProperties>
</file>