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DD81717F-5DF9-4A5B-9C50-C7A110F2DE54}" xr6:coauthVersionLast="47" xr6:coauthVersionMax="47" xr10:uidLastSave="{00000000-0000-0000-0000-000000000000}"/>
  <bookViews>
    <workbookView xWindow="-108" yWindow="-108" windowWidth="23256" windowHeight="12576" tabRatio="681" firstSheet="13" activeTab="13" xr2:uid="{00000000-000D-0000-FFFF-FFFF00000000}"/>
  </bookViews>
  <sheets>
    <sheet name="2019.03.31." sheetId="1" state="hidden" r:id="rId1"/>
    <sheet name="2019.04.30." sheetId="2" state="hidden" r:id="rId2"/>
    <sheet name="2019.05.31." sheetId="3" state="hidden" r:id="rId3"/>
    <sheet name="Előterjesztés-06.20." sheetId="4" state="hidden" r:id="rId4"/>
    <sheet name="2019.06.30." sheetId="5" state="hidden" r:id="rId5"/>
    <sheet name="2019.07.31." sheetId="6" state="hidden" r:id="rId6"/>
    <sheet name="2019.08.31." sheetId="7" state="hidden" r:id="rId7"/>
    <sheet name="Előterjesztés 09.26." sheetId="8" state="hidden" r:id="rId8"/>
    <sheet name="2019.09.30." sheetId="9" state="hidden" r:id="rId9"/>
    <sheet name="2019.10.31." sheetId="10" state="hidden" r:id="rId10"/>
    <sheet name="Előterjesztés 12.12." sheetId="11" state="hidden" r:id="rId11"/>
    <sheet name="2019.11.30." sheetId="12" state="hidden" r:id="rId12"/>
    <sheet name="2019.12.31." sheetId="13" state="hidden" r:id="rId13"/>
    <sheet name="2023" sheetId="14" r:id="rId14"/>
  </sheets>
  <definedNames>
    <definedName name="_xlnm._FilterDatabase" localSheetId="0" hidden="1">'2019.03.31.'!$A$4:$X$214</definedName>
    <definedName name="_xlnm._FilterDatabase" localSheetId="1" hidden="1">'2019.04.30.'!$A$4:$L$214</definedName>
    <definedName name="_xlnm._FilterDatabase" localSheetId="2" hidden="1">'2019.05.31.'!$A$4:$L$4</definedName>
    <definedName name="_xlnm._FilterDatabase" localSheetId="4" hidden="1">'2019.06.30.'!$A$4:$L$218</definedName>
    <definedName name="_xlnm._FilterDatabase" localSheetId="5" hidden="1">'2019.07.31.'!$A$4:$L$218</definedName>
    <definedName name="_xlnm._FilterDatabase" localSheetId="6" hidden="1">'2019.08.31.'!$A$4:$L$4</definedName>
    <definedName name="_xlnm._FilterDatabase" localSheetId="8" hidden="1">'2019.09.30.'!$A$4:$L$4</definedName>
    <definedName name="_xlnm._FilterDatabase" localSheetId="9" hidden="1">'2019.10.31.'!$A$4:$L$4</definedName>
    <definedName name="_xlnm._FilterDatabase" localSheetId="11" hidden="1">'2019.11.30.'!$A$4:$L$4</definedName>
    <definedName name="_xlnm._FilterDatabase" localSheetId="12" hidden="1">'2019.12.31.'!$A$4:$N$220</definedName>
    <definedName name="_xlnm._FilterDatabase" localSheetId="13" hidden="1">'2023'!$A$4:$AF$256</definedName>
    <definedName name="_xlnm._FilterDatabase" localSheetId="7" hidden="1">'Előterjesztés 09.26.'!$A$4:$L$218</definedName>
    <definedName name="_xlnm._FilterDatabase" localSheetId="10" hidden="1">'Előterjesztés 12.12.'!$A$4:$N$219</definedName>
    <definedName name="_xlnm._FilterDatabase" localSheetId="3" hidden="1">'Előterjesztés-06.20.'!$A$4:$K$217</definedName>
    <definedName name="_xlnm.Print_Titles" localSheetId="1">'2019.04.30.'!$3:$4</definedName>
    <definedName name="_xlnm.Print_Titles" localSheetId="2">'2019.05.31.'!$3:$4</definedName>
    <definedName name="_xlnm.Print_Titles" localSheetId="11">'2019.11.30.'!$3:$4</definedName>
    <definedName name="_xlnm.Print_Titles" localSheetId="12">'2019.12.31.'!$3:$4</definedName>
    <definedName name="_xlnm.Print_Titles" localSheetId="13">'2023'!$3:$4</definedName>
    <definedName name="_xlnm.Print_Titles" localSheetId="10">'Előterjesztés 12.12.'!$3:$4</definedName>
    <definedName name="_xlnm.Print_Titles" localSheetId="3">'Előterjesztés-06.20.'!$3:$4</definedName>
    <definedName name="_xlnm.Print_Area" localSheetId="6">'2019.08.31.'!$A$1:$L$267</definedName>
    <definedName name="_xlnm.Print_Area" localSheetId="7">'Előterjesztés 09.26.'!$A$1:$L$350</definedName>
    <definedName name="_xlnm.Print_Area" localSheetId="10">'Előterjesztés 12.12.'!$A$1:$M$352</definedName>
    <definedName name="_xlnm.Print_Area" localSheetId="3">'Előterjesztés-06.20.'!$A$1:$J$267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79" i="14" l="1"/>
  <c r="Z380" i="14"/>
  <c r="Z381" i="14"/>
  <c r="Z382" i="14"/>
  <c r="Z378" i="14"/>
  <c r="Z371" i="14"/>
  <c r="Z368" i="14"/>
  <c r="Z355" i="14"/>
  <c r="Z331" i="14"/>
  <c r="Z323" i="14"/>
  <c r="Z319" i="14"/>
  <c r="Z317" i="14"/>
  <c r="Z366" i="14" s="1"/>
  <c r="Z372" i="14"/>
  <c r="Z349" i="14" l="1"/>
  <c r="AA197" i="14" l="1"/>
  <c r="AA199" i="14"/>
  <c r="AA198" i="14"/>
  <c r="X297" i="14"/>
  <c r="Y297" i="14"/>
  <c r="Z297" i="14"/>
  <c r="AA297" i="14"/>
  <c r="AB297" i="14"/>
  <c r="AC297" i="14"/>
  <c r="W297" i="14"/>
  <c r="X287" i="14"/>
  <c r="Y287" i="14"/>
  <c r="Z287" i="14"/>
  <c r="AA287" i="14"/>
  <c r="AB287" i="14"/>
  <c r="AC287" i="14"/>
  <c r="W280" i="14"/>
  <c r="X280" i="14"/>
  <c r="Y280" i="14"/>
  <c r="Z280" i="14"/>
  <c r="AA280" i="14"/>
  <c r="AB280" i="14"/>
  <c r="AC280" i="14"/>
  <c r="W65" i="14"/>
  <c r="W34" i="14"/>
  <c r="W71" i="14"/>
  <c r="W62" i="14"/>
  <c r="W159" i="14"/>
  <c r="W157" i="14"/>
  <c r="W228" i="14"/>
  <c r="W84" i="14"/>
  <c r="W46" i="14"/>
  <c r="W31" i="14"/>
  <c r="W167" i="14"/>
  <c r="W166" i="14"/>
  <c r="W122" i="14"/>
  <c r="W114" i="14"/>
  <c r="W121" i="14"/>
  <c r="Q307" i="14"/>
  <c r="R307" i="14"/>
  <c r="S307" i="14"/>
  <c r="T307" i="14"/>
  <c r="U307" i="14"/>
  <c r="W307" i="14"/>
  <c r="X307" i="14"/>
  <c r="Y307" i="14"/>
  <c r="Z307" i="14"/>
  <c r="AA307" i="14"/>
  <c r="AB307" i="14"/>
  <c r="AC307" i="14"/>
  <c r="AE307" i="14"/>
  <c r="P307" i="14"/>
  <c r="V90" i="14"/>
  <c r="AD90" i="14" s="1"/>
  <c r="AF90" i="14" s="1"/>
  <c r="R93" i="14"/>
  <c r="S93" i="14"/>
  <c r="T93" i="14"/>
  <c r="U93" i="14"/>
  <c r="W93" i="14"/>
  <c r="X93" i="14"/>
  <c r="Y93" i="14"/>
  <c r="Z93" i="14"/>
  <c r="AA93" i="14"/>
  <c r="AB93" i="14"/>
  <c r="AC93" i="14"/>
  <c r="AE93" i="14"/>
  <c r="Q93" i="14"/>
  <c r="R61" i="14"/>
  <c r="S61" i="14"/>
  <c r="T61" i="14"/>
  <c r="U61" i="14"/>
  <c r="W61" i="14"/>
  <c r="X61" i="14"/>
  <c r="Y61" i="14"/>
  <c r="Z61" i="14"/>
  <c r="AA61" i="14"/>
  <c r="AB61" i="14"/>
  <c r="AC61" i="14"/>
  <c r="AE61" i="14"/>
  <c r="Q61" i="14"/>
  <c r="V58" i="14"/>
  <c r="AD58" i="14" s="1"/>
  <c r="Q275" i="14"/>
  <c r="R275" i="14"/>
  <c r="S275" i="14"/>
  <c r="T275" i="14"/>
  <c r="U275" i="14"/>
  <c r="W275" i="14"/>
  <c r="X275" i="14"/>
  <c r="Y275" i="14"/>
  <c r="Z275" i="14"/>
  <c r="AA275" i="14"/>
  <c r="AB275" i="14"/>
  <c r="AC275" i="14"/>
  <c r="Q157" i="14"/>
  <c r="Q156" i="14"/>
  <c r="Q104" i="14"/>
  <c r="Q103" i="14"/>
  <c r="Q62" i="14"/>
  <c r="Q65" i="14"/>
  <c r="Q31" i="14"/>
  <c r="Q226" i="14"/>
  <c r="T355" i="14"/>
  <c r="T331" i="14"/>
  <c r="T317" i="14"/>
  <c r="T366" i="14" s="1"/>
  <c r="T371" i="14"/>
  <c r="T345" i="14"/>
  <c r="T349" i="14" s="1"/>
  <c r="AD307" i="14" l="1"/>
  <c r="AF58" i="14"/>
  <c r="V307" i="14"/>
  <c r="T379" i="14"/>
  <c r="T372" i="14"/>
  <c r="Q232" i="14" l="1"/>
  <c r="Q70" i="14"/>
  <c r="Q273" i="14"/>
  <c r="R273" i="14"/>
  <c r="S273" i="14"/>
  <c r="T273" i="14"/>
  <c r="U273" i="14"/>
  <c r="W273" i="14"/>
  <c r="X273" i="14"/>
  <c r="Y273" i="14"/>
  <c r="Z273" i="14"/>
  <c r="AA273" i="14"/>
  <c r="AB273" i="14"/>
  <c r="AC273" i="14"/>
  <c r="Q266" i="14"/>
  <c r="R266" i="14"/>
  <c r="S266" i="14"/>
  <c r="T266" i="14"/>
  <c r="U266" i="14"/>
  <c r="W266" i="14"/>
  <c r="X266" i="14"/>
  <c r="Y266" i="14"/>
  <c r="Z266" i="14"/>
  <c r="AA266" i="14"/>
  <c r="AB266" i="14"/>
  <c r="AC266" i="14"/>
  <c r="Q78" i="14"/>
  <c r="AE57" i="14"/>
  <c r="AE30" i="14"/>
  <c r="N356" i="14"/>
  <c r="N380" i="14" s="1"/>
  <c r="N344" i="14"/>
  <c r="N371" i="14" s="1"/>
  <c r="N347" i="14"/>
  <c r="N370" i="14" s="1"/>
  <c r="N330" i="14"/>
  <c r="N378" i="14" s="1"/>
  <c r="N318" i="14"/>
  <c r="N368" i="14" s="1"/>
  <c r="K245" i="14"/>
  <c r="K246" i="14"/>
  <c r="K47" i="14"/>
  <c r="K161" i="14"/>
  <c r="K156" i="14"/>
  <c r="K52" i="14"/>
  <c r="AE275" i="14"/>
  <c r="K274" i="14"/>
  <c r="K275" i="14"/>
  <c r="O275" i="14"/>
  <c r="N275" i="14"/>
  <c r="M275" i="14"/>
  <c r="L275" i="14"/>
  <c r="K271" i="14"/>
  <c r="K273" i="14"/>
  <c r="AE273" i="14"/>
  <c r="O273" i="14"/>
  <c r="N273" i="14"/>
  <c r="M273" i="14"/>
  <c r="L273" i="14"/>
  <c r="AE280" i="14"/>
  <c r="N355" i="14" l="1"/>
  <c r="N379" i="14" s="1"/>
  <c r="N335" i="14"/>
  <c r="N372" i="14"/>
  <c r="N324" i="14"/>
  <c r="N348" i="14"/>
  <c r="E161" i="14"/>
  <c r="E156" i="14"/>
  <c r="E232" i="14"/>
  <c r="E226" i="14"/>
  <c r="N359" i="14" l="1"/>
  <c r="E30" i="14"/>
  <c r="J15" i="14"/>
  <c r="E297" i="14"/>
  <c r="P15" i="14" l="1"/>
  <c r="V15" i="14" s="1"/>
  <c r="V275" i="14" s="1"/>
  <c r="J275" i="14"/>
  <c r="H359" i="14"/>
  <c r="H335" i="14"/>
  <c r="H324" i="14"/>
  <c r="H342" i="14"/>
  <c r="H340" i="14"/>
  <c r="E31" i="14"/>
  <c r="E38" i="14"/>
  <c r="AE274" i="14"/>
  <c r="L274" i="14"/>
  <c r="M274" i="14"/>
  <c r="N274" i="14"/>
  <c r="O274" i="14"/>
  <c r="Q274" i="14"/>
  <c r="R274" i="14"/>
  <c r="S274" i="14"/>
  <c r="T274" i="14"/>
  <c r="U274" i="14"/>
  <c r="W274" i="14"/>
  <c r="X274" i="14"/>
  <c r="Y274" i="14"/>
  <c r="Z274" i="14"/>
  <c r="AA274" i="14"/>
  <c r="AB274" i="14"/>
  <c r="AC274" i="14"/>
  <c r="AD15" i="14" l="1"/>
  <c r="AF15" i="14" s="1"/>
  <c r="V273" i="14"/>
  <c r="P273" i="14"/>
  <c r="P275" i="14"/>
  <c r="H348" i="14"/>
  <c r="H372" i="14"/>
  <c r="AE177" i="14"/>
  <c r="AE201" i="14"/>
  <c r="AE89" i="14"/>
  <c r="AE124" i="14"/>
  <c r="AE150" i="14"/>
  <c r="AE249" i="14"/>
  <c r="AE294" i="14"/>
  <c r="AE267" i="14"/>
  <c r="E276" i="14"/>
  <c r="F276" i="14"/>
  <c r="G276" i="14"/>
  <c r="H276" i="14"/>
  <c r="I276" i="14"/>
  <c r="E268" i="14"/>
  <c r="F268" i="14"/>
  <c r="G268" i="14"/>
  <c r="H268" i="14"/>
  <c r="I268" i="14"/>
  <c r="D268" i="14"/>
  <c r="J143" i="14"/>
  <c r="J170" i="14"/>
  <c r="P170" i="14" s="1"/>
  <c r="F295" i="14"/>
  <c r="G295" i="14"/>
  <c r="H295" i="14"/>
  <c r="I295" i="14"/>
  <c r="K295" i="14"/>
  <c r="L295" i="14"/>
  <c r="M295" i="14"/>
  <c r="N295" i="14"/>
  <c r="O295" i="14"/>
  <c r="Q295" i="14"/>
  <c r="R295" i="14"/>
  <c r="S295" i="14"/>
  <c r="T295" i="14"/>
  <c r="U295" i="14"/>
  <c r="W295" i="14"/>
  <c r="X295" i="14"/>
  <c r="Y295" i="14"/>
  <c r="Z295" i="14"/>
  <c r="AA295" i="14"/>
  <c r="AB295" i="14"/>
  <c r="AC295" i="14"/>
  <c r="AE295" i="14"/>
  <c r="E295" i="14"/>
  <c r="D295" i="14"/>
  <c r="J241" i="14"/>
  <c r="P241" i="14" s="1"/>
  <c r="J194" i="14"/>
  <c r="P194" i="14" s="1"/>
  <c r="J117" i="14"/>
  <c r="P117" i="14" s="1"/>
  <c r="J79" i="14"/>
  <c r="P79" i="14" s="1"/>
  <c r="J47" i="14"/>
  <c r="P47" i="14" s="1"/>
  <c r="AE309" i="14"/>
  <c r="AE308" i="14"/>
  <c r="AE306" i="14"/>
  <c r="AE304" i="14"/>
  <c r="AE303" i="14"/>
  <c r="AE302" i="14"/>
  <c r="AE301" i="14"/>
  <c r="AE300" i="14"/>
  <c r="AE299" i="14"/>
  <c r="AE298" i="14"/>
  <c r="AE297" i="14"/>
  <c r="AE296" i="14"/>
  <c r="AE290" i="14"/>
  <c r="AE292" i="14"/>
  <c r="AE291" i="14"/>
  <c r="AE293" i="14"/>
  <c r="AE266" i="14"/>
  <c r="E309" i="14"/>
  <c r="E308" i="14"/>
  <c r="E306" i="14"/>
  <c r="E304" i="14"/>
  <c r="E303" i="14"/>
  <c r="E302" i="14"/>
  <c r="E301" i="14"/>
  <c r="E300" i="14"/>
  <c r="E299" i="14"/>
  <c r="E298" i="14"/>
  <c r="E296" i="14"/>
  <c r="E293" i="14"/>
  <c r="E292" i="14"/>
  <c r="E291" i="14"/>
  <c r="E290" i="14"/>
  <c r="E289" i="14"/>
  <c r="E287" i="14"/>
  <c r="E286" i="14"/>
  <c r="E284" i="14"/>
  <c r="E283" i="14"/>
  <c r="E282" i="14"/>
  <c r="E281" i="14"/>
  <c r="E280" i="14"/>
  <c r="E279" i="14"/>
  <c r="E278" i="14"/>
  <c r="E274" i="14"/>
  <c r="E272" i="14"/>
  <c r="E271" i="14"/>
  <c r="E270" i="14"/>
  <c r="E269" i="14"/>
  <c r="E267" i="14"/>
  <c r="E265" i="14"/>
  <c r="E266" i="14"/>
  <c r="J251" i="14"/>
  <c r="J250" i="14"/>
  <c r="D177" i="14"/>
  <c r="J227" i="14"/>
  <c r="P227" i="14" s="1"/>
  <c r="AE234" i="14"/>
  <c r="D304" i="14"/>
  <c r="D55" i="14"/>
  <c r="D53" i="14"/>
  <c r="D52" i="14"/>
  <c r="D51" i="14"/>
  <c r="D299" i="14" s="1"/>
  <c r="D297" i="14"/>
  <c r="D43" i="14"/>
  <c r="D291" i="14" s="1"/>
  <c r="D280" i="14"/>
  <c r="D274" i="14"/>
  <c r="D269" i="14"/>
  <c r="D266" i="14"/>
  <c r="D287" i="14"/>
  <c r="D234" i="14"/>
  <c r="J233" i="14"/>
  <c r="P233" i="14" s="1"/>
  <c r="AD273" i="14" l="1"/>
  <c r="AD275" i="14"/>
  <c r="V170" i="14"/>
  <c r="V227" i="14"/>
  <c r="V117" i="14"/>
  <c r="V79" i="14"/>
  <c r="V233" i="14"/>
  <c r="V194" i="14"/>
  <c r="V47" i="14"/>
  <c r="V241" i="14"/>
  <c r="P143" i="14"/>
  <c r="P295" i="14" s="1"/>
  <c r="J295" i="14"/>
  <c r="AD47" i="14" l="1"/>
  <c r="AF47" i="14" s="1"/>
  <c r="AD117" i="14"/>
  <c r="AF117" i="14" s="1"/>
  <c r="AD241" i="14"/>
  <c r="AF241" i="14" s="1"/>
  <c r="AD79" i="14"/>
  <c r="AF79" i="14" s="1"/>
  <c r="AD194" i="14"/>
  <c r="AF194" i="14" s="1"/>
  <c r="AD227" i="14"/>
  <c r="AF227" i="14" s="1"/>
  <c r="AD233" i="14"/>
  <c r="AF233" i="14" s="1"/>
  <c r="AD170" i="14"/>
  <c r="AF170" i="14" s="1"/>
  <c r="V143" i="14"/>
  <c r="V295" i="14" s="1"/>
  <c r="D294" i="14"/>
  <c r="D293" i="14"/>
  <c r="D292" i="14"/>
  <c r="J169" i="14"/>
  <c r="J168" i="14"/>
  <c r="J193" i="14"/>
  <c r="J176" i="14"/>
  <c r="D150" i="14"/>
  <c r="J149" i="14"/>
  <c r="P149" i="14" s="1"/>
  <c r="J144" i="14"/>
  <c r="J141" i="14"/>
  <c r="D6" i="14"/>
  <c r="J14" i="14"/>
  <c r="F274" i="14"/>
  <c r="G274" i="14"/>
  <c r="H274" i="14"/>
  <c r="I274" i="14"/>
  <c r="F270" i="14"/>
  <c r="G270" i="14"/>
  <c r="H270" i="14"/>
  <c r="I270" i="14"/>
  <c r="K270" i="14"/>
  <c r="L270" i="14"/>
  <c r="M270" i="14"/>
  <c r="N270" i="14"/>
  <c r="O270" i="14"/>
  <c r="Q270" i="14"/>
  <c r="R270" i="14"/>
  <c r="S270" i="14"/>
  <c r="T270" i="14"/>
  <c r="U270" i="14"/>
  <c r="W270" i="14"/>
  <c r="X270" i="14"/>
  <c r="Y270" i="14"/>
  <c r="Z270" i="14"/>
  <c r="AA270" i="14"/>
  <c r="AB270" i="14"/>
  <c r="AC270" i="14"/>
  <c r="AE270" i="14"/>
  <c r="J238" i="14"/>
  <c r="P238" i="14" s="1"/>
  <c r="V238" i="14" s="1"/>
  <c r="AD238" i="14" s="1"/>
  <c r="AF238" i="14" s="1"/>
  <c r="F292" i="14"/>
  <c r="G292" i="14"/>
  <c r="H292" i="14"/>
  <c r="I292" i="14"/>
  <c r="K292" i="14"/>
  <c r="L292" i="14"/>
  <c r="M292" i="14"/>
  <c r="N292" i="14"/>
  <c r="O292" i="14"/>
  <c r="Q292" i="14"/>
  <c r="R292" i="14"/>
  <c r="S292" i="14"/>
  <c r="T292" i="14"/>
  <c r="U292" i="14"/>
  <c r="W292" i="14"/>
  <c r="X292" i="14"/>
  <c r="Y292" i="14"/>
  <c r="Z292" i="14"/>
  <c r="AA292" i="14"/>
  <c r="AB292" i="14"/>
  <c r="AC292" i="14"/>
  <c r="F298" i="14"/>
  <c r="G298" i="14"/>
  <c r="H298" i="14"/>
  <c r="I298" i="14"/>
  <c r="K298" i="14"/>
  <c r="L298" i="14"/>
  <c r="M298" i="14"/>
  <c r="N298" i="14"/>
  <c r="O298" i="14"/>
  <c r="Q298" i="14"/>
  <c r="R298" i="14"/>
  <c r="S298" i="14"/>
  <c r="T298" i="14"/>
  <c r="U298" i="14"/>
  <c r="W298" i="14"/>
  <c r="X298" i="14"/>
  <c r="Y298" i="14"/>
  <c r="Z298" i="14"/>
  <c r="AA298" i="14"/>
  <c r="AB298" i="14"/>
  <c r="AC298" i="14"/>
  <c r="F299" i="14"/>
  <c r="G299" i="14"/>
  <c r="H299" i="14"/>
  <c r="I299" i="14"/>
  <c r="K299" i="14"/>
  <c r="L299" i="14"/>
  <c r="M299" i="14"/>
  <c r="N299" i="14"/>
  <c r="O299" i="14"/>
  <c r="Q299" i="14"/>
  <c r="R299" i="14"/>
  <c r="S299" i="14"/>
  <c r="T299" i="14"/>
  <c r="U299" i="14"/>
  <c r="W299" i="14"/>
  <c r="X299" i="14"/>
  <c r="Y299" i="14"/>
  <c r="Z299" i="14"/>
  <c r="AA299" i="14"/>
  <c r="AB299" i="14"/>
  <c r="AC299" i="14"/>
  <c r="D249" i="14"/>
  <c r="D298" i="14"/>
  <c r="J243" i="14"/>
  <c r="P243" i="14" s="1"/>
  <c r="J82" i="14"/>
  <c r="P82" i="14" s="1"/>
  <c r="D270" i="14"/>
  <c r="J19" i="14"/>
  <c r="P19" i="14" s="1"/>
  <c r="J16" i="14"/>
  <c r="P16" i="14" s="1"/>
  <c r="AE72" i="14"/>
  <c r="K209" i="14"/>
  <c r="AD143" i="14" l="1"/>
  <c r="V149" i="14"/>
  <c r="AD149" i="14" s="1"/>
  <c r="AF149" i="14" s="1"/>
  <c r="V19" i="14"/>
  <c r="V82" i="14"/>
  <c r="V16" i="14"/>
  <c r="V243" i="14"/>
  <c r="D30" i="14"/>
  <c r="D277" i="14" s="1"/>
  <c r="D276" i="14"/>
  <c r="P168" i="14"/>
  <c r="P169" i="14"/>
  <c r="P141" i="14"/>
  <c r="P176" i="14"/>
  <c r="P14" i="14"/>
  <c r="J266" i="14"/>
  <c r="P144" i="14"/>
  <c r="P193" i="14"/>
  <c r="W40" i="14"/>
  <c r="AC40" i="14"/>
  <c r="AC136" i="14"/>
  <c r="W290" i="14"/>
  <c r="X290" i="14"/>
  <c r="Y290" i="14"/>
  <c r="Z290" i="14"/>
  <c r="AA290" i="14"/>
  <c r="AB290" i="14"/>
  <c r="AC290" i="14"/>
  <c r="W291" i="14"/>
  <c r="X291" i="14"/>
  <c r="Y291" i="14"/>
  <c r="Z291" i="14"/>
  <c r="AA291" i="14"/>
  <c r="AB291" i="14"/>
  <c r="AC291" i="14"/>
  <c r="W293" i="14"/>
  <c r="X293" i="14"/>
  <c r="Y293" i="14"/>
  <c r="Z293" i="14"/>
  <c r="AA293" i="14"/>
  <c r="AB293" i="14"/>
  <c r="AC293" i="14"/>
  <c r="W294" i="14"/>
  <c r="X294" i="14"/>
  <c r="Y294" i="14"/>
  <c r="Z294" i="14"/>
  <c r="AA294" i="14"/>
  <c r="AB294" i="14"/>
  <c r="AC294" i="14"/>
  <c r="W296" i="14"/>
  <c r="X296" i="14"/>
  <c r="Y296" i="14"/>
  <c r="Z296" i="14"/>
  <c r="AA296" i="14"/>
  <c r="AB296" i="14"/>
  <c r="AC296" i="14"/>
  <c r="W300" i="14"/>
  <c r="X300" i="14"/>
  <c r="Y300" i="14"/>
  <c r="Z300" i="14"/>
  <c r="AA300" i="14"/>
  <c r="AB300" i="14"/>
  <c r="AC300" i="14"/>
  <c r="W301" i="14"/>
  <c r="X301" i="14"/>
  <c r="Y301" i="14"/>
  <c r="Z301" i="14"/>
  <c r="AA301" i="14"/>
  <c r="AB301" i="14"/>
  <c r="AC301" i="14"/>
  <c r="W302" i="14"/>
  <c r="X302" i="14"/>
  <c r="Y302" i="14"/>
  <c r="Z302" i="14"/>
  <c r="AA302" i="14"/>
  <c r="AB302" i="14"/>
  <c r="AC302" i="14"/>
  <c r="X303" i="14"/>
  <c r="Z303" i="14"/>
  <c r="AA303" i="14"/>
  <c r="AB303" i="14"/>
  <c r="AC303" i="14"/>
  <c r="W304" i="14"/>
  <c r="X304" i="14"/>
  <c r="Y304" i="14"/>
  <c r="Z304" i="14"/>
  <c r="AA304" i="14"/>
  <c r="AB304" i="14"/>
  <c r="AC304" i="14"/>
  <c r="W306" i="14"/>
  <c r="X306" i="14"/>
  <c r="Y306" i="14"/>
  <c r="Z306" i="14"/>
  <c r="AA306" i="14"/>
  <c r="AB306" i="14"/>
  <c r="AC306" i="14"/>
  <c r="W308" i="14"/>
  <c r="X308" i="14"/>
  <c r="Y308" i="14"/>
  <c r="Z308" i="14"/>
  <c r="AA308" i="14"/>
  <c r="AB308" i="14"/>
  <c r="AC308" i="14"/>
  <c r="W309" i="14"/>
  <c r="X309" i="14"/>
  <c r="Y309" i="14"/>
  <c r="Z309" i="14"/>
  <c r="AA309" i="14"/>
  <c r="AB309" i="14"/>
  <c r="AC309" i="14"/>
  <c r="X278" i="14"/>
  <c r="Y278" i="14"/>
  <c r="Z278" i="14"/>
  <c r="AA278" i="14"/>
  <c r="AB278" i="14"/>
  <c r="AC278" i="14"/>
  <c r="W279" i="14"/>
  <c r="X279" i="14"/>
  <c r="Y279" i="14"/>
  <c r="Z279" i="14"/>
  <c r="AA279" i="14"/>
  <c r="AB279" i="14"/>
  <c r="AC279" i="14"/>
  <c r="W281" i="14"/>
  <c r="X281" i="14"/>
  <c r="Y281" i="14"/>
  <c r="Z281" i="14"/>
  <c r="AA281" i="14"/>
  <c r="AB281" i="14"/>
  <c r="AC281" i="14"/>
  <c r="W282" i="14"/>
  <c r="X282" i="14"/>
  <c r="Y282" i="14"/>
  <c r="Z282" i="14"/>
  <c r="AA282" i="14"/>
  <c r="AB282" i="14"/>
  <c r="AC282" i="14"/>
  <c r="W283" i="14"/>
  <c r="X283" i="14"/>
  <c r="Y283" i="14"/>
  <c r="Z283" i="14"/>
  <c r="AA283" i="14"/>
  <c r="AB283" i="14"/>
  <c r="AC283" i="14"/>
  <c r="W284" i="14"/>
  <c r="X284" i="14"/>
  <c r="Y284" i="14"/>
  <c r="Z284" i="14"/>
  <c r="AA284" i="14"/>
  <c r="AB284" i="14"/>
  <c r="AC284" i="14"/>
  <c r="W285" i="14"/>
  <c r="X285" i="14"/>
  <c r="Y285" i="14"/>
  <c r="Z285" i="14"/>
  <c r="AA285" i="14"/>
  <c r="AB285" i="14"/>
  <c r="AC285" i="14"/>
  <c r="X286" i="14"/>
  <c r="Y286" i="14"/>
  <c r="Z286" i="14"/>
  <c r="AA286" i="14"/>
  <c r="AB286" i="14"/>
  <c r="AC286" i="14"/>
  <c r="W287" i="14"/>
  <c r="X289" i="14"/>
  <c r="Y289" i="14"/>
  <c r="Z289" i="14"/>
  <c r="AA289" i="14"/>
  <c r="AB289" i="14"/>
  <c r="AC289" i="14"/>
  <c r="W265" i="14"/>
  <c r="X265" i="14"/>
  <c r="Y265" i="14"/>
  <c r="Z265" i="14"/>
  <c r="AA265" i="14"/>
  <c r="AB265" i="14"/>
  <c r="AC265" i="14"/>
  <c r="W267" i="14"/>
  <c r="X267" i="14"/>
  <c r="Y267" i="14"/>
  <c r="Z267" i="14"/>
  <c r="AA267" i="14"/>
  <c r="AB267" i="14"/>
  <c r="AC267" i="14"/>
  <c r="W268" i="14"/>
  <c r="X268" i="14"/>
  <c r="Y268" i="14"/>
  <c r="Z268" i="14"/>
  <c r="AA268" i="14"/>
  <c r="AB268" i="14"/>
  <c r="AC268" i="14"/>
  <c r="W269" i="14"/>
  <c r="X269" i="14"/>
  <c r="Y269" i="14"/>
  <c r="Z269" i="14"/>
  <c r="AA269" i="14"/>
  <c r="AB269" i="14"/>
  <c r="AC269" i="14"/>
  <c r="W271" i="14"/>
  <c r="X271" i="14"/>
  <c r="Y271" i="14"/>
  <c r="Z271" i="14"/>
  <c r="AA271" i="14"/>
  <c r="AB271" i="14"/>
  <c r="AC271" i="14"/>
  <c r="W272" i="14"/>
  <c r="X272" i="14"/>
  <c r="Y272" i="14"/>
  <c r="Z272" i="14"/>
  <c r="AA272" i="14"/>
  <c r="AB272" i="14"/>
  <c r="AC272" i="14"/>
  <c r="W276" i="14"/>
  <c r="X276" i="14"/>
  <c r="Y276" i="14"/>
  <c r="Z276" i="14"/>
  <c r="AA276" i="14"/>
  <c r="AB276" i="14"/>
  <c r="AC276" i="14"/>
  <c r="AE278" i="14"/>
  <c r="AE265" i="14"/>
  <c r="W249" i="14"/>
  <c r="W286" i="14"/>
  <c r="Y303" i="14"/>
  <c r="Y40" i="14"/>
  <c r="Z40" i="14"/>
  <c r="Y57" i="14"/>
  <c r="Z57" i="14"/>
  <c r="Y72" i="14"/>
  <c r="Z72" i="14"/>
  <c r="Y89" i="14"/>
  <c r="Z89" i="14"/>
  <c r="Y110" i="14"/>
  <c r="Z110" i="14"/>
  <c r="AA110" i="14"/>
  <c r="X124" i="14"/>
  <c r="Y124" i="14"/>
  <c r="Z124" i="14"/>
  <c r="AA124" i="14"/>
  <c r="AB124" i="14"/>
  <c r="AC124" i="14"/>
  <c r="Y136" i="14"/>
  <c r="Z136" i="14"/>
  <c r="Y150" i="14"/>
  <c r="Z150" i="14"/>
  <c r="Y163" i="14"/>
  <c r="Z163" i="14"/>
  <c r="Y177" i="14"/>
  <c r="Z177" i="14"/>
  <c r="Y187" i="14"/>
  <c r="Z187" i="14"/>
  <c r="Y201" i="14"/>
  <c r="Z201" i="14"/>
  <c r="Y255" i="14"/>
  <c r="Z255" i="14"/>
  <c r="Y30" i="14"/>
  <c r="Y277" i="14" s="1"/>
  <c r="Z30" i="14"/>
  <c r="Z277" i="14" s="1"/>
  <c r="Y223" i="14"/>
  <c r="Z223" i="14"/>
  <c r="Z219" i="14"/>
  <c r="Y209" i="14"/>
  <c r="Y288" i="14" s="1"/>
  <c r="Z209" i="14"/>
  <c r="Z288" i="14" s="1"/>
  <c r="AD295" i="14" l="1"/>
  <c r="AF143" i="14"/>
  <c r="AD243" i="14"/>
  <c r="AF243" i="14" s="1"/>
  <c r="AD19" i="14"/>
  <c r="AF19" i="14" s="1"/>
  <c r="AD16" i="14"/>
  <c r="AF16" i="14" s="1"/>
  <c r="AD82" i="14"/>
  <c r="AF82" i="14" s="1"/>
  <c r="V169" i="14"/>
  <c r="V14" i="14"/>
  <c r="P266" i="14"/>
  <c r="V168" i="14"/>
  <c r="V193" i="14"/>
  <c r="V176" i="14"/>
  <c r="V144" i="14"/>
  <c r="V141" i="14"/>
  <c r="Y155" i="14"/>
  <c r="Z310" i="14"/>
  <c r="Y310" i="14"/>
  <c r="Z180" i="14"/>
  <c r="Z155" i="14"/>
  <c r="Z225" i="14"/>
  <c r="Z305" i="14"/>
  <c r="Z206" i="14"/>
  <c r="Y180" i="14"/>
  <c r="Z102" i="14"/>
  <c r="Y129" i="14"/>
  <c r="Y219" i="14"/>
  <c r="Z129" i="14"/>
  <c r="Y206" i="14"/>
  <c r="Y102" i="14"/>
  <c r="W57" i="14"/>
  <c r="W303" i="14"/>
  <c r="X40" i="14"/>
  <c r="AA40" i="14"/>
  <c r="AB40" i="14"/>
  <c r="AA30" i="14"/>
  <c r="AB30" i="14"/>
  <c r="AB277" i="14" s="1"/>
  <c r="AC30" i="14"/>
  <c r="AC277" i="14" s="1"/>
  <c r="W30" i="14"/>
  <c r="X252" i="14"/>
  <c r="AA252" i="14"/>
  <c r="AB252" i="14"/>
  <c r="AC252" i="14"/>
  <c r="W252" i="14"/>
  <c r="X249" i="14"/>
  <c r="AA249" i="14"/>
  <c r="AB249" i="14"/>
  <c r="AC249" i="14"/>
  <c r="X234" i="14"/>
  <c r="AA234" i="14"/>
  <c r="AB234" i="14"/>
  <c r="AC234" i="14"/>
  <c r="W234" i="14"/>
  <c r="X223" i="14"/>
  <c r="AA223" i="14"/>
  <c r="AB223" i="14"/>
  <c r="AC223" i="14"/>
  <c r="W223" i="14"/>
  <c r="AA219" i="14"/>
  <c r="AB219" i="14"/>
  <c r="AC219" i="14"/>
  <c r="X209" i="14"/>
  <c r="AA209" i="14"/>
  <c r="AA225" i="14" s="1"/>
  <c r="AB209" i="14"/>
  <c r="AC209" i="14"/>
  <c r="W209" i="14"/>
  <c r="X201" i="14"/>
  <c r="AA201" i="14"/>
  <c r="AB201" i="14"/>
  <c r="AC201" i="14"/>
  <c r="W201" i="14"/>
  <c r="X187" i="14"/>
  <c r="AA187" i="14"/>
  <c r="Z330" i="14" s="1"/>
  <c r="AB187" i="14"/>
  <c r="AC187" i="14"/>
  <c r="W187" i="14"/>
  <c r="X177" i="14"/>
  <c r="AA177" i="14"/>
  <c r="AB177" i="14"/>
  <c r="AC177" i="14"/>
  <c r="W177" i="14"/>
  <c r="X163" i="14"/>
  <c r="AA163" i="14"/>
  <c r="AB163" i="14"/>
  <c r="AC163" i="14"/>
  <c r="W163" i="14"/>
  <c r="X150" i="14"/>
  <c r="AA150" i="14"/>
  <c r="AB150" i="14"/>
  <c r="AC150" i="14"/>
  <c r="AC155" i="14" s="1"/>
  <c r="W150" i="14"/>
  <c r="X136" i="14"/>
  <c r="AA136" i="14"/>
  <c r="AB136" i="14"/>
  <c r="W136" i="14"/>
  <c r="U136" i="14"/>
  <c r="X110" i="14"/>
  <c r="X129" i="14" s="1"/>
  <c r="AA129" i="14"/>
  <c r="AB110" i="14"/>
  <c r="AB129" i="14" s="1"/>
  <c r="AC110" i="14"/>
  <c r="AC129" i="14" s="1"/>
  <c r="T110" i="14"/>
  <c r="X89" i="14"/>
  <c r="AA89" i="14"/>
  <c r="AB89" i="14"/>
  <c r="AC89" i="14"/>
  <c r="W89" i="14"/>
  <c r="X72" i="14"/>
  <c r="AA72" i="14"/>
  <c r="AB72" i="14"/>
  <c r="AC72" i="14"/>
  <c r="W72" i="14"/>
  <c r="X57" i="14"/>
  <c r="Z332" i="14" s="1"/>
  <c r="AA57" i="14"/>
  <c r="AB57" i="14"/>
  <c r="AC57" i="14"/>
  <c r="U30" i="14"/>
  <c r="Q110" i="14"/>
  <c r="AE209" i="14"/>
  <c r="AA277" i="14" l="1"/>
  <c r="Z318" i="14"/>
  <c r="AA288" i="14"/>
  <c r="Z336" i="14"/>
  <c r="AD144" i="14"/>
  <c r="AF144" i="14" s="1"/>
  <c r="AD168" i="14"/>
  <c r="AF168" i="14" s="1"/>
  <c r="AD176" i="14"/>
  <c r="AF176" i="14" s="1"/>
  <c r="AD141" i="14"/>
  <c r="AF141" i="14" s="1"/>
  <c r="AD193" i="14"/>
  <c r="AF193" i="14" s="1"/>
  <c r="AD169" i="14"/>
  <c r="AF169" i="14" s="1"/>
  <c r="AD14" i="14"/>
  <c r="V266" i="14"/>
  <c r="AA180" i="14"/>
  <c r="AA155" i="14"/>
  <c r="AC180" i="14"/>
  <c r="W289" i="14"/>
  <c r="W110" i="14"/>
  <c r="W288" i="14" s="1"/>
  <c r="W278" i="14"/>
  <c r="Z256" i="14"/>
  <c r="Z311" i="14" s="1"/>
  <c r="AC288" i="14"/>
  <c r="W255" i="14"/>
  <c r="AC310" i="14"/>
  <c r="AA255" i="14"/>
  <c r="AA305" i="14"/>
  <c r="AB310" i="14"/>
  <c r="X255" i="14"/>
  <c r="X288" i="14"/>
  <c r="AA310" i="14"/>
  <c r="AC305" i="14"/>
  <c r="W310" i="14"/>
  <c r="X310" i="14"/>
  <c r="AB288" i="14"/>
  <c r="AB305" i="14"/>
  <c r="Y225" i="14"/>
  <c r="Y256" i="14" s="1"/>
  <c r="Y311" i="14" s="1"/>
  <c r="Y305" i="14"/>
  <c r="W277" i="14"/>
  <c r="W219" i="14"/>
  <c r="X30" i="14"/>
  <c r="X277" i="14" s="1"/>
  <c r="AB180" i="14"/>
  <c r="AB206" i="14"/>
  <c r="W124" i="14"/>
  <c r="X206" i="14"/>
  <c r="X180" i="14"/>
  <c r="AC206" i="14"/>
  <c r="W206" i="14"/>
  <c r="AB225" i="14"/>
  <c r="X155" i="14"/>
  <c r="AA206" i="14"/>
  <c r="AC225" i="14"/>
  <c r="AB255" i="14"/>
  <c r="AC255" i="14"/>
  <c r="X219" i="14"/>
  <c r="X225" i="14" s="1"/>
  <c r="AA102" i="14"/>
  <c r="AC102" i="14"/>
  <c r="W155" i="14"/>
  <c r="X102" i="14"/>
  <c r="AB102" i="14"/>
  <c r="AB155" i="14"/>
  <c r="W180" i="14"/>
  <c r="Z367" i="14" l="1"/>
  <c r="Z373" i="14" s="1"/>
  <c r="Z325" i="14"/>
  <c r="Z354" i="14"/>
  <c r="AD266" i="14"/>
  <c r="AF14" i="14"/>
  <c r="W129" i="14"/>
  <c r="AA256" i="14"/>
  <c r="AA311" i="14" s="1"/>
  <c r="X305" i="14"/>
  <c r="W225" i="14"/>
  <c r="W305" i="14"/>
  <c r="Z356" i="14" s="1"/>
  <c r="W102" i="14"/>
  <c r="X256" i="14"/>
  <c r="X311" i="14" s="1"/>
  <c r="AC256" i="14"/>
  <c r="AC311" i="14" s="1"/>
  <c r="AB256" i="14"/>
  <c r="AB311" i="14" s="1"/>
  <c r="Z360" i="14" l="1"/>
  <c r="Z383" i="14"/>
  <c r="W256" i="14"/>
  <c r="W311" i="14" s="1"/>
  <c r="Q40" i="14"/>
  <c r="R308" i="14" l="1"/>
  <c r="S308" i="14"/>
  <c r="T308" i="14"/>
  <c r="U308" i="14"/>
  <c r="R309" i="14"/>
  <c r="S309" i="14"/>
  <c r="T309" i="14"/>
  <c r="U309" i="14"/>
  <c r="AE252" i="14"/>
  <c r="V251" i="14"/>
  <c r="V250" i="14"/>
  <c r="Q252" i="14"/>
  <c r="R252" i="14"/>
  <c r="S252" i="14"/>
  <c r="T252" i="14"/>
  <c r="U252" i="14"/>
  <c r="P252" i="14"/>
  <c r="Q309" i="14"/>
  <c r="Q308" i="14"/>
  <c r="AD250" i="14" l="1"/>
  <c r="AF250" i="14" s="1"/>
  <c r="AD251" i="14"/>
  <c r="AF251" i="14" s="1"/>
  <c r="V252" i="14"/>
  <c r="AD252" i="14" s="1"/>
  <c r="AF252" i="14" s="1"/>
  <c r="Q265" i="14"/>
  <c r="R265" i="14"/>
  <c r="S265" i="14"/>
  <c r="U265" i="14"/>
  <c r="Q267" i="14"/>
  <c r="R267" i="14"/>
  <c r="S267" i="14"/>
  <c r="T267" i="14"/>
  <c r="U267" i="14"/>
  <c r="Q268" i="14"/>
  <c r="R268" i="14"/>
  <c r="S268" i="14"/>
  <c r="T268" i="14"/>
  <c r="U268" i="14"/>
  <c r="Q269" i="14"/>
  <c r="R269" i="14"/>
  <c r="S269" i="14"/>
  <c r="T269" i="14"/>
  <c r="U269" i="14"/>
  <c r="Q271" i="14"/>
  <c r="R271" i="14"/>
  <c r="S271" i="14"/>
  <c r="T271" i="14"/>
  <c r="U271" i="14"/>
  <c r="Q272" i="14"/>
  <c r="R272" i="14"/>
  <c r="S272" i="14"/>
  <c r="T272" i="14"/>
  <c r="U272" i="14"/>
  <c r="Q276" i="14"/>
  <c r="R276" i="14"/>
  <c r="S276" i="14"/>
  <c r="T276" i="14"/>
  <c r="U276" i="14"/>
  <c r="Q278" i="14"/>
  <c r="R278" i="14"/>
  <c r="S278" i="14"/>
  <c r="T278" i="14"/>
  <c r="U278" i="14"/>
  <c r="Q279" i="14"/>
  <c r="R279" i="14"/>
  <c r="S279" i="14"/>
  <c r="T279" i="14"/>
  <c r="U279" i="14"/>
  <c r="Q280" i="14"/>
  <c r="R280" i="14"/>
  <c r="S280" i="14"/>
  <c r="T280" i="14"/>
  <c r="U280" i="14"/>
  <c r="Q281" i="14"/>
  <c r="R281" i="14"/>
  <c r="S281" i="14"/>
  <c r="T281" i="14"/>
  <c r="U281" i="14"/>
  <c r="Q282" i="14"/>
  <c r="R282" i="14"/>
  <c r="S282" i="14"/>
  <c r="T282" i="14"/>
  <c r="U282" i="14"/>
  <c r="Q283" i="14"/>
  <c r="R283" i="14"/>
  <c r="S283" i="14"/>
  <c r="T283" i="14"/>
  <c r="U283" i="14"/>
  <c r="Q284" i="14"/>
  <c r="R284" i="14"/>
  <c r="S284" i="14"/>
  <c r="T284" i="14"/>
  <c r="U284" i="14"/>
  <c r="Q285" i="14"/>
  <c r="R285" i="14"/>
  <c r="S285" i="14"/>
  <c r="T285" i="14"/>
  <c r="U285" i="14"/>
  <c r="Q286" i="14"/>
  <c r="R286" i="14"/>
  <c r="S286" i="14"/>
  <c r="T286" i="14"/>
  <c r="U286" i="14"/>
  <c r="Q287" i="14"/>
  <c r="R287" i="14"/>
  <c r="S287" i="14"/>
  <c r="T287" i="14"/>
  <c r="U287" i="14"/>
  <c r="Q289" i="14"/>
  <c r="R289" i="14"/>
  <c r="S289" i="14"/>
  <c r="T289" i="14"/>
  <c r="U289" i="14"/>
  <c r="Q290" i="14"/>
  <c r="R290" i="14"/>
  <c r="S290" i="14"/>
  <c r="T290" i="14"/>
  <c r="U290" i="14"/>
  <c r="Q291" i="14"/>
  <c r="R291" i="14"/>
  <c r="S291" i="14"/>
  <c r="T291" i="14"/>
  <c r="U291" i="14"/>
  <c r="Q293" i="14"/>
  <c r="R293" i="14"/>
  <c r="S293" i="14"/>
  <c r="T293" i="14"/>
  <c r="U293" i="14"/>
  <c r="Q294" i="14"/>
  <c r="R294" i="14"/>
  <c r="S294" i="14"/>
  <c r="T294" i="14"/>
  <c r="U294" i="14"/>
  <c r="Q296" i="14"/>
  <c r="R296" i="14"/>
  <c r="S296" i="14"/>
  <c r="T296" i="14"/>
  <c r="U296" i="14"/>
  <c r="Q297" i="14"/>
  <c r="R297" i="14"/>
  <c r="S297" i="14"/>
  <c r="T297" i="14"/>
  <c r="U297" i="14"/>
  <c r="Q300" i="14"/>
  <c r="R300" i="14"/>
  <c r="S300" i="14"/>
  <c r="T300" i="14"/>
  <c r="U300" i="14"/>
  <c r="Q301" i="14"/>
  <c r="R301" i="14"/>
  <c r="S301" i="14"/>
  <c r="T301" i="14"/>
  <c r="U301" i="14"/>
  <c r="Q302" i="14"/>
  <c r="R302" i="14"/>
  <c r="S302" i="14"/>
  <c r="T302" i="14"/>
  <c r="U302" i="14"/>
  <c r="Q303" i="14"/>
  <c r="R303" i="14"/>
  <c r="S303" i="14"/>
  <c r="T303" i="14"/>
  <c r="U303" i="14"/>
  <c r="Q304" i="14"/>
  <c r="R304" i="14"/>
  <c r="S304" i="14"/>
  <c r="T304" i="14"/>
  <c r="U304" i="14"/>
  <c r="Q306" i="14"/>
  <c r="R306" i="14"/>
  <c r="S306" i="14"/>
  <c r="T306" i="14"/>
  <c r="U306" i="14"/>
  <c r="R249" i="14"/>
  <c r="S249" i="14"/>
  <c r="T249" i="14"/>
  <c r="U249" i="14"/>
  <c r="Q249" i="14"/>
  <c r="R234" i="14"/>
  <c r="S234" i="14"/>
  <c r="T234" i="14"/>
  <c r="U234" i="14"/>
  <c r="Q234" i="14"/>
  <c r="R223" i="14"/>
  <c r="S223" i="14"/>
  <c r="T223" i="14"/>
  <c r="U223" i="14"/>
  <c r="Q223" i="14"/>
  <c r="R219" i="14"/>
  <c r="S219" i="14"/>
  <c r="T219" i="14"/>
  <c r="U219" i="14"/>
  <c r="Q219" i="14"/>
  <c r="R209" i="14"/>
  <c r="S209" i="14"/>
  <c r="T209" i="14"/>
  <c r="U209" i="14"/>
  <c r="Q209" i="14"/>
  <c r="R201" i="14"/>
  <c r="S201" i="14"/>
  <c r="T201" i="14"/>
  <c r="U201" i="14"/>
  <c r="Q201" i="14"/>
  <c r="R187" i="14"/>
  <c r="S187" i="14"/>
  <c r="T187" i="14"/>
  <c r="U187" i="14"/>
  <c r="Q187" i="14"/>
  <c r="R177" i="14"/>
  <c r="S177" i="14"/>
  <c r="T177" i="14"/>
  <c r="U177" i="14"/>
  <c r="Q177" i="14"/>
  <c r="R163" i="14"/>
  <c r="S163" i="14"/>
  <c r="T163" i="14"/>
  <c r="U163" i="14"/>
  <c r="Q163" i="14"/>
  <c r="R150" i="14"/>
  <c r="S150" i="14"/>
  <c r="T150" i="14"/>
  <c r="U150" i="14"/>
  <c r="U155" i="14" s="1"/>
  <c r="Q150" i="14"/>
  <c r="R136" i="14"/>
  <c r="S136" i="14"/>
  <c r="T330" i="14" s="1"/>
  <c r="T136" i="14"/>
  <c r="Q136" i="14"/>
  <c r="R124" i="14"/>
  <c r="S124" i="14"/>
  <c r="T124" i="14"/>
  <c r="T129" i="14" s="1"/>
  <c r="U124" i="14"/>
  <c r="Q124" i="14"/>
  <c r="R110" i="14"/>
  <c r="S110" i="14"/>
  <c r="U110" i="14"/>
  <c r="R89" i="14"/>
  <c r="S89" i="14"/>
  <c r="T89" i="14"/>
  <c r="U89" i="14"/>
  <c r="Q89" i="14"/>
  <c r="R72" i="14"/>
  <c r="S72" i="14"/>
  <c r="T72" i="14"/>
  <c r="U72" i="14"/>
  <c r="Q72" i="14"/>
  <c r="T357" i="14"/>
  <c r="R57" i="14"/>
  <c r="S57" i="14"/>
  <c r="T57" i="14"/>
  <c r="U57" i="14"/>
  <c r="Q57" i="14"/>
  <c r="U40" i="14"/>
  <c r="T40" i="14"/>
  <c r="S40" i="14"/>
  <c r="R40" i="14"/>
  <c r="U277" i="14"/>
  <c r="T30" i="14"/>
  <c r="T277" i="14" s="1"/>
  <c r="S30" i="14"/>
  <c r="R30" i="14"/>
  <c r="R277" i="14" s="1"/>
  <c r="Q30" i="14"/>
  <c r="Q277" i="14" s="1"/>
  <c r="U129" i="14" l="1"/>
  <c r="T354" i="14"/>
  <c r="T378" i="14" s="1"/>
  <c r="T336" i="14"/>
  <c r="T356" i="14"/>
  <c r="T380" i="14" s="1"/>
  <c r="S277" i="14"/>
  <c r="T319" i="14"/>
  <c r="T381" i="14"/>
  <c r="S129" i="14"/>
  <c r="U206" i="14"/>
  <c r="R255" i="14"/>
  <c r="S155" i="14"/>
  <c r="U180" i="14"/>
  <c r="T255" i="14"/>
  <c r="U225" i="14"/>
  <c r="U102" i="14"/>
  <c r="R206" i="14"/>
  <c r="T225" i="14"/>
  <c r="S255" i="14"/>
  <c r="R305" i="14"/>
  <c r="S180" i="14"/>
  <c r="R129" i="14"/>
  <c r="R180" i="14"/>
  <c r="T206" i="14"/>
  <c r="U305" i="14"/>
  <c r="S102" i="14"/>
  <c r="Q310" i="14"/>
  <c r="T305" i="14"/>
  <c r="S225" i="14"/>
  <c r="S305" i="14"/>
  <c r="R155" i="14"/>
  <c r="T180" i="14"/>
  <c r="S206" i="14"/>
  <c r="Q225" i="14"/>
  <c r="R225" i="14"/>
  <c r="U288" i="14"/>
  <c r="R310" i="14"/>
  <c r="U310" i="14"/>
  <c r="T265" i="14"/>
  <c r="T310" i="14"/>
  <c r="S288" i="14"/>
  <c r="T155" i="14"/>
  <c r="S310" i="14"/>
  <c r="U255" i="14"/>
  <c r="Q255" i="14"/>
  <c r="R288" i="14"/>
  <c r="Q129" i="14"/>
  <c r="Q180" i="14"/>
  <c r="Q288" i="14"/>
  <c r="Q155" i="14"/>
  <c r="Q206" i="14"/>
  <c r="T102" i="14"/>
  <c r="T288" i="14"/>
  <c r="R102" i="14"/>
  <c r="Q102" i="14"/>
  <c r="Q305" i="14"/>
  <c r="T383" i="14" l="1"/>
  <c r="T325" i="14"/>
  <c r="T373" i="14"/>
  <c r="T360" i="14"/>
  <c r="S256" i="14"/>
  <c r="S311" i="14" s="1"/>
  <c r="U256" i="14"/>
  <c r="U311" i="14" s="1"/>
  <c r="R256" i="14"/>
  <c r="R311" i="14" s="1"/>
  <c r="T256" i="14"/>
  <c r="T311" i="14" s="1"/>
  <c r="Q256" i="14"/>
  <c r="Q311" i="14" l="1"/>
  <c r="K300" i="14"/>
  <c r="K291" i="14"/>
  <c r="K249" i="14"/>
  <c r="L249" i="14"/>
  <c r="M249" i="14"/>
  <c r="N249" i="14"/>
  <c r="K234" i="14"/>
  <c r="L234" i="14"/>
  <c r="M234" i="14"/>
  <c r="N234" i="14"/>
  <c r="K223" i="14"/>
  <c r="L223" i="14"/>
  <c r="M223" i="14"/>
  <c r="N223" i="14"/>
  <c r="L219" i="14"/>
  <c r="M219" i="14"/>
  <c r="N219" i="14"/>
  <c r="L209" i="14"/>
  <c r="M209" i="14"/>
  <c r="N209" i="14"/>
  <c r="K201" i="14"/>
  <c r="L201" i="14"/>
  <c r="M201" i="14"/>
  <c r="N201" i="14"/>
  <c r="K187" i="14"/>
  <c r="L187" i="14"/>
  <c r="M187" i="14"/>
  <c r="N187" i="14"/>
  <c r="N206" i="14" s="1"/>
  <c r="K177" i="14"/>
  <c r="L177" i="14"/>
  <c r="M177" i="14"/>
  <c r="N177" i="14"/>
  <c r="K163" i="14"/>
  <c r="L163" i="14"/>
  <c r="L180" i="14" s="1"/>
  <c r="M163" i="14"/>
  <c r="N163" i="14"/>
  <c r="N180" i="14" s="1"/>
  <c r="K150" i="14"/>
  <c r="L150" i="14"/>
  <c r="M150" i="14"/>
  <c r="N150" i="14"/>
  <c r="K136" i="14"/>
  <c r="L136" i="14"/>
  <c r="L155" i="14" s="1"/>
  <c r="M136" i="14"/>
  <c r="N136" i="14"/>
  <c r="K124" i="14"/>
  <c r="L124" i="14"/>
  <c r="M124" i="14"/>
  <c r="N124" i="14"/>
  <c r="K110" i="14"/>
  <c r="L110" i="14"/>
  <c r="L129" i="14" s="1"/>
  <c r="M110" i="14"/>
  <c r="N110" i="14"/>
  <c r="K93" i="14"/>
  <c r="L93" i="14"/>
  <c r="M93" i="14"/>
  <c r="N93" i="14"/>
  <c r="K89" i="14"/>
  <c r="L89" i="14"/>
  <c r="M89" i="14"/>
  <c r="N89" i="14"/>
  <c r="K72" i="14"/>
  <c r="L72" i="14"/>
  <c r="M72" i="14"/>
  <c r="N72" i="14"/>
  <c r="K61" i="14"/>
  <c r="L61" i="14"/>
  <c r="M61" i="14"/>
  <c r="N61" i="14"/>
  <c r="O61" i="14"/>
  <c r="O310" i="14" s="1"/>
  <c r="L57" i="14"/>
  <c r="M57" i="14"/>
  <c r="N57" i="14"/>
  <c r="K40" i="14"/>
  <c r="L40" i="14"/>
  <c r="M40" i="14"/>
  <c r="N40" i="14"/>
  <c r="K30" i="14"/>
  <c r="K277" i="14" s="1"/>
  <c r="L30" i="14"/>
  <c r="L277" i="14" s="1"/>
  <c r="M30" i="14"/>
  <c r="M277" i="14" s="1"/>
  <c r="N30" i="14"/>
  <c r="N277" i="14" s="1"/>
  <c r="K265" i="14"/>
  <c r="L265" i="14"/>
  <c r="M265" i="14"/>
  <c r="N265" i="14"/>
  <c r="O265" i="14"/>
  <c r="K267" i="14"/>
  <c r="L267" i="14"/>
  <c r="M267" i="14"/>
  <c r="N267" i="14"/>
  <c r="O267" i="14"/>
  <c r="K268" i="14"/>
  <c r="L268" i="14"/>
  <c r="M268" i="14"/>
  <c r="N268" i="14"/>
  <c r="O268" i="14"/>
  <c r="K269" i="14"/>
  <c r="L269" i="14"/>
  <c r="M269" i="14"/>
  <c r="N269" i="14"/>
  <c r="O269" i="14"/>
  <c r="L271" i="14"/>
  <c r="M271" i="14"/>
  <c r="N271" i="14"/>
  <c r="O271" i="14"/>
  <c r="K272" i="14"/>
  <c r="L272" i="14"/>
  <c r="M272" i="14"/>
  <c r="N272" i="14"/>
  <c r="O272" i="14"/>
  <c r="K276" i="14"/>
  <c r="L276" i="14"/>
  <c r="M276" i="14"/>
  <c r="N276" i="14"/>
  <c r="O276" i="14"/>
  <c r="O277" i="14"/>
  <c r="K278" i="14"/>
  <c r="L278" i="14"/>
  <c r="M278" i="14"/>
  <c r="N278" i="14"/>
  <c r="O278" i="14"/>
  <c r="K279" i="14"/>
  <c r="L279" i="14"/>
  <c r="M279" i="14"/>
  <c r="N279" i="14"/>
  <c r="O279" i="14"/>
  <c r="K280" i="14"/>
  <c r="L280" i="14"/>
  <c r="M280" i="14"/>
  <c r="N280" i="14"/>
  <c r="O280" i="14"/>
  <c r="K281" i="14"/>
  <c r="L281" i="14"/>
  <c r="M281" i="14"/>
  <c r="N281" i="14"/>
  <c r="O281" i="14"/>
  <c r="K282" i="14"/>
  <c r="L282" i="14"/>
  <c r="M282" i="14"/>
  <c r="N282" i="14"/>
  <c r="O282" i="14"/>
  <c r="K283" i="14"/>
  <c r="L283" i="14"/>
  <c r="M283" i="14"/>
  <c r="N283" i="14"/>
  <c r="O283" i="14"/>
  <c r="K284" i="14"/>
  <c r="L284" i="14"/>
  <c r="M284" i="14"/>
  <c r="N284" i="14"/>
  <c r="O284" i="14"/>
  <c r="K285" i="14"/>
  <c r="L285" i="14"/>
  <c r="M285" i="14"/>
  <c r="N285" i="14"/>
  <c r="O285" i="14"/>
  <c r="K286" i="14"/>
  <c r="L286" i="14"/>
  <c r="M286" i="14"/>
  <c r="N286" i="14"/>
  <c r="O286" i="14"/>
  <c r="K287" i="14"/>
  <c r="L287" i="14"/>
  <c r="M287" i="14"/>
  <c r="N287" i="14"/>
  <c r="O287" i="14"/>
  <c r="O288" i="14"/>
  <c r="K289" i="14"/>
  <c r="L289" i="14"/>
  <c r="M289" i="14"/>
  <c r="N289" i="14"/>
  <c r="O289" i="14"/>
  <c r="K290" i="14"/>
  <c r="L290" i="14"/>
  <c r="M290" i="14"/>
  <c r="N290" i="14"/>
  <c r="O290" i="14"/>
  <c r="L291" i="14"/>
  <c r="M291" i="14"/>
  <c r="N291" i="14"/>
  <c r="O291" i="14"/>
  <c r="K293" i="14"/>
  <c r="L293" i="14"/>
  <c r="M293" i="14"/>
  <c r="N293" i="14"/>
  <c r="O293" i="14"/>
  <c r="K294" i="14"/>
  <c r="L294" i="14"/>
  <c r="M294" i="14"/>
  <c r="N294" i="14"/>
  <c r="O294" i="14"/>
  <c r="K296" i="14"/>
  <c r="L296" i="14"/>
  <c r="M296" i="14"/>
  <c r="N296" i="14"/>
  <c r="O296" i="14"/>
  <c r="K297" i="14"/>
  <c r="L297" i="14"/>
  <c r="M297" i="14"/>
  <c r="N297" i="14"/>
  <c r="O297" i="14"/>
  <c r="L300" i="14"/>
  <c r="M300" i="14"/>
  <c r="N300" i="14"/>
  <c r="O300" i="14"/>
  <c r="K301" i="14"/>
  <c r="L301" i="14"/>
  <c r="M301" i="14"/>
  <c r="N301" i="14"/>
  <c r="O301" i="14"/>
  <c r="K302" i="14"/>
  <c r="L302" i="14"/>
  <c r="M302" i="14"/>
  <c r="N302" i="14"/>
  <c r="O302" i="14"/>
  <c r="K303" i="14"/>
  <c r="L303" i="14"/>
  <c r="M303" i="14"/>
  <c r="N303" i="14"/>
  <c r="O303" i="14"/>
  <c r="K304" i="14"/>
  <c r="L304" i="14"/>
  <c r="M304" i="14"/>
  <c r="N304" i="14"/>
  <c r="O304" i="14"/>
  <c r="O305" i="14"/>
  <c r="K306" i="14"/>
  <c r="L306" i="14"/>
  <c r="M306" i="14"/>
  <c r="N306" i="14"/>
  <c r="O306" i="14"/>
  <c r="K308" i="14"/>
  <c r="L308" i="14"/>
  <c r="M308" i="14"/>
  <c r="N308" i="14"/>
  <c r="O308" i="14"/>
  <c r="K309" i="14"/>
  <c r="L309" i="14"/>
  <c r="M309" i="14"/>
  <c r="N309" i="14"/>
  <c r="O309" i="14"/>
  <c r="O311" i="14"/>
  <c r="G294" i="14"/>
  <c r="H294" i="14"/>
  <c r="I294" i="14"/>
  <c r="F294" i="14"/>
  <c r="J244" i="14"/>
  <c r="J240" i="14"/>
  <c r="M129" i="14" l="1"/>
  <c r="M180" i="14"/>
  <c r="M155" i="14"/>
  <c r="L102" i="14"/>
  <c r="M206" i="14"/>
  <c r="L206" i="14"/>
  <c r="N255" i="14"/>
  <c r="N155" i="14"/>
  <c r="P244" i="14"/>
  <c r="K155" i="14"/>
  <c r="K180" i="14"/>
  <c r="K206" i="14"/>
  <c r="L255" i="14"/>
  <c r="K129" i="14"/>
  <c r="L288" i="14"/>
  <c r="K57" i="14"/>
  <c r="K102" i="14" s="1"/>
  <c r="K310" i="14"/>
  <c r="M255" i="14"/>
  <c r="L310" i="14"/>
  <c r="N225" i="14"/>
  <c r="M310" i="14"/>
  <c r="M225" i="14"/>
  <c r="L305" i="14"/>
  <c r="K219" i="14"/>
  <c r="L225" i="14"/>
  <c r="M305" i="14"/>
  <c r="K255" i="14"/>
  <c r="K288" i="14"/>
  <c r="M288" i="14"/>
  <c r="M102" i="14"/>
  <c r="N102" i="14"/>
  <c r="P240" i="14"/>
  <c r="N310" i="14"/>
  <c r="N129" i="14"/>
  <c r="N305" i="14"/>
  <c r="N288" i="14"/>
  <c r="D278" i="14"/>
  <c r="E285" i="14"/>
  <c r="F285" i="14"/>
  <c r="G285" i="14"/>
  <c r="H285" i="14"/>
  <c r="I285" i="14"/>
  <c r="AE285" i="14"/>
  <c r="D285" i="14"/>
  <c r="D284" i="14"/>
  <c r="J69" i="14"/>
  <c r="E201" i="14"/>
  <c r="F201" i="14"/>
  <c r="G201" i="14"/>
  <c r="H201" i="14"/>
  <c r="I201" i="14"/>
  <c r="D201" i="14"/>
  <c r="E124" i="14"/>
  <c r="F124" i="14"/>
  <c r="G124" i="14"/>
  <c r="H124" i="14"/>
  <c r="I124" i="14"/>
  <c r="F280" i="14"/>
  <c r="G280" i="14"/>
  <c r="H280" i="14"/>
  <c r="I280" i="14"/>
  <c r="D124" i="14"/>
  <c r="J123" i="14"/>
  <c r="J200" i="14"/>
  <c r="J33" i="14"/>
  <c r="J32" i="14"/>
  <c r="L256" i="14" l="1"/>
  <c r="L311" i="14" s="1"/>
  <c r="V244" i="14"/>
  <c r="V240" i="14"/>
  <c r="K305" i="14"/>
  <c r="M256" i="14"/>
  <c r="M311" i="14" s="1"/>
  <c r="K225" i="14"/>
  <c r="K256" i="14" s="1"/>
  <c r="K311" i="14" s="1"/>
  <c r="N256" i="14"/>
  <c r="N311" i="14" s="1"/>
  <c r="P33" i="14"/>
  <c r="P32" i="14"/>
  <c r="P123" i="14"/>
  <c r="P200" i="14"/>
  <c r="P69" i="14"/>
  <c r="J285" i="14"/>
  <c r="F265" i="14"/>
  <c r="G265" i="14"/>
  <c r="H265" i="14"/>
  <c r="I265" i="14"/>
  <c r="J9" i="14"/>
  <c r="AD240" i="14" l="1"/>
  <c r="AF240" i="14" s="1"/>
  <c r="AD244" i="14"/>
  <c r="AF244" i="14" s="1"/>
  <c r="V200" i="14"/>
  <c r="V123" i="14"/>
  <c r="V32" i="14"/>
  <c r="V69" i="14"/>
  <c r="P285" i="14"/>
  <c r="V33" i="14"/>
  <c r="P9" i="14"/>
  <c r="D265" i="14"/>
  <c r="J235" i="14"/>
  <c r="J210" i="14"/>
  <c r="J188" i="14"/>
  <c r="J164" i="14"/>
  <c r="J137" i="14"/>
  <c r="J111" i="14"/>
  <c r="J73" i="14"/>
  <c r="J254" i="14"/>
  <c r="J253" i="14"/>
  <c r="J248" i="14"/>
  <c r="J247" i="14"/>
  <c r="J246" i="14"/>
  <c r="J245" i="14"/>
  <c r="J242" i="14"/>
  <c r="J239" i="14"/>
  <c r="J237" i="14"/>
  <c r="J236" i="14"/>
  <c r="J232" i="14"/>
  <c r="J231" i="14"/>
  <c r="J230" i="14"/>
  <c r="J229" i="14"/>
  <c r="J228" i="14"/>
  <c r="J226" i="14"/>
  <c r="J224" i="14"/>
  <c r="J222" i="14"/>
  <c r="J221" i="14"/>
  <c r="J220" i="14"/>
  <c r="J218" i="14"/>
  <c r="J217" i="14"/>
  <c r="J216" i="14"/>
  <c r="J215" i="14"/>
  <c r="J214" i="14"/>
  <c r="J213" i="14"/>
  <c r="J212" i="14"/>
  <c r="J211" i="14"/>
  <c r="J208" i="14"/>
  <c r="J207" i="14"/>
  <c r="J205" i="14"/>
  <c r="J204" i="14"/>
  <c r="J203" i="14"/>
  <c r="J202" i="14"/>
  <c r="J199" i="14"/>
  <c r="J198" i="14"/>
  <c r="J197" i="14"/>
  <c r="J196" i="14"/>
  <c r="J195" i="14"/>
  <c r="J192" i="14"/>
  <c r="J191" i="14"/>
  <c r="J190" i="14"/>
  <c r="J189" i="14"/>
  <c r="J186" i="14"/>
  <c r="J185" i="14"/>
  <c r="J184" i="14"/>
  <c r="J183" i="14"/>
  <c r="J182" i="14"/>
  <c r="J181" i="14"/>
  <c r="J179" i="14"/>
  <c r="J178" i="14"/>
  <c r="J175" i="14"/>
  <c r="J174" i="14"/>
  <c r="J173" i="14"/>
  <c r="J172" i="14"/>
  <c r="J171" i="14"/>
  <c r="J167" i="14"/>
  <c r="J166" i="14"/>
  <c r="J165" i="14"/>
  <c r="J162" i="14"/>
  <c r="J161" i="14"/>
  <c r="J160" i="14"/>
  <c r="J159" i="14"/>
  <c r="J158" i="14"/>
  <c r="J157" i="14"/>
  <c r="J156" i="14"/>
  <c r="J154" i="14"/>
  <c r="J153" i="14"/>
  <c r="J152" i="14"/>
  <c r="J151" i="14"/>
  <c r="J148" i="14"/>
  <c r="J147" i="14"/>
  <c r="J146" i="14"/>
  <c r="J145" i="14"/>
  <c r="J142" i="14"/>
  <c r="J140" i="14"/>
  <c r="J139" i="14"/>
  <c r="J138" i="14"/>
  <c r="J135" i="14"/>
  <c r="J134" i="14"/>
  <c r="J133" i="14"/>
  <c r="J132" i="14"/>
  <c r="J131" i="14"/>
  <c r="J130" i="14"/>
  <c r="J128" i="14"/>
  <c r="J127" i="14"/>
  <c r="J126" i="14"/>
  <c r="J125" i="14"/>
  <c r="J122" i="14"/>
  <c r="J121" i="14"/>
  <c r="J120" i="14"/>
  <c r="J119" i="14"/>
  <c r="J118" i="14"/>
  <c r="J116" i="14"/>
  <c r="J115" i="14"/>
  <c r="J114" i="14"/>
  <c r="J113" i="14"/>
  <c r="J112" i="14"/>
  <c r="J109" i="14"/>
  <c r="J108" i="14"/>
  <c r="J107" i="14"/>
  <c r="J106" i="14"/>
  <c r="J105" i="14"/>
  <c r="J104" i="14"/>
  <c r="J103" i="14"/>
  <c r="J101" i="14"/>
  <c r="J100" i="14"/>
  <c r="J99" i="14"/>
  <c r="J98" i="14"/>
  <c r="J97" i="14"/>
  <c r="J96" i="14"/>
  <c r="J95" i="14"/>
  <c r="J94" i="14"/>
  <c r="J92" i="14"/>
  <c r="J91" i="14"/>
  <c r="J88" i="14"/>
  <c r="J87" i="14"/>
  <c r="J86" i="14"/>
  <c r="J85" i="14"/>
  <c r="J84" i="14"/>
  <c r="J83" i="14"/>
  <c r="J81" i="14"/>
  <c r="J80" i="14"/>
  <c r="J78" i="14"/>
  <c r="J77" i="14"/>
  <c r="J76" i="14"/>
  <c r="J75" i="14"/>
  <c r="J74" i="14"/>
  <c r="J71" i="14"/>
  <c r="J70" i="14"/>
  <c r="J68" i="14"/>
  <c r="J67" i="14"/>
  <c r="J66" i="14"/>
  <c r="J65" i="14"/>
  <c r="J64" i="14"/>
  <c r="J63" i="14"/>
  <c r="J62" i="14"/>
  <c r="J60" i="14"/>
  <c r="J59" i="14"/>
  <c r="J56" i="14"/>
  <c r="J55" i="14"/>
  <c r="J54" i="14"/>
  <c r="J53" i="14"/>
  <c r="J52" i="14"/>
  <c r="J51" i="14"/>
  <c r="J50" i="14"/>
  <c r="J49" i="14"/>
  <c r="J48" i="14"/>
  <c r="J46" i="14"/>
  <c r="J45" i="14"/>
  <c r="J44" i="14"/>
  <c r="J43" i="14"/>
  <c r="J42" i="14"/>
  <c r="J41" i="14"/>
  <c r="J39" i="14"/>
  <c r="J38" i="14"/>
  <c r="J37" i="14"/>
  <c r="J36" i="14"/>
  <c r="J35" i="14"/>
  <c r="J34" i="14"/>
  <c r="J31" i="14"/>
  <c r="J6" i="14"/>
  <c r="J7" i="14"/>
  <c r="J8" i="14"/>
  <c r="J268" i="14" s="1"/>
  <c r="J10" i="14"/>
  <c r="J11" i="14"/>
  <c r="J12" i="14"/>
  <c r="J13" i="14"/>
  <c r="J17" i="14"/>
  <c r="J18" i="14"/>
  <c r="J20" i="14"/>
  <c r="J21" i="14"/>
  <c r="J22" i="14"/>
  <c r="J23" i="14"/>
  <c r="J24" i="14"/>
  <c r="J25" i="14"/>
  <c r="J26" i="14"/>
  <c r="J27" i="14"/>
  <c r="J28" i="14"/>
  <c r="J29" i="14"/>
  <c r="J5" i="14"/>
  <c r="AD69" i="14" l="1"/>
  <c r="AD32" i="14"/>
  <c r="AF32" i="14" s="1"/>
  <c r="AD33" i="14"/>
  <c r="AF33" i="14" s="1"/>
  <c r="AD123" i="14"/>
  <c r="AF123" i="14" s="1"/>
  <c r="AD200" i="14"/>
  <c r="V285" i="14"/>
  <c r="V9" i="14"/>
  <c r="J274" i="14"/>
  <c r="J276" i="14"/>
  <c r="J294" i="14"/>
  <c r="J304" i="14"/>
  <c r="J177" i="14"/>
  <c r="J150" i="14"/>
  <c r="J163" i="14"/>
  <c r="J280" i="14"/>
  <c r="J297" i="14"/>
  <c r="J287" i="14"/>
  <c r="J234" i="14"/>
  <c r="J293" i="14"/>
  <c r="P20" i="14"/>
  <c r="P35" i="14"/>
  <c r="P44" i="14"/>
  <c r="P53" i="14"/>
  <c r="P68" i="14"/>
  <c r="P85" i="14"/>
  <c r="P100" i="14"/>
  <c r="P109" i="14"/>
  <c r="P126" i="14"/>
  <c r="P135" i="14"/>
  <c r="P159" i="14"/>
  <c r="P178" i="14"/>
  <c r="P195" i="14"/>
  <c r="P205" i="14"/>
  <c r="P221" i="14"/>
  <c r="P228" i="14"/>
  <c r="P242" i="14"/>
  <c r="P111" i="14"/>
  <c r="P210" i="14"/>
  <c r="P27" i="14"/>
  <c r="P23" i="14"/>
  <c r="P11" i="14"/>
  <c r="J270" i="14"/>
  <c r="P6" i="14"/>
  <c r="P36" i="14"/>
  <c r="P41" i="14"/>
  <c r="P45" i="14"/>
  <c r="P54" i="14"/>
  <c r="P60" i="14"/>
  <c r="P65" i="14"/>
  <c r="P70" i="14"/>
  <c r="P76" i="14"/>
  <c r="P81" i="14"/>
  <c r="P86" i="14"/>
  <c r="P92" i="14"/>
  <c r="P97" i="14"/>
  <c r="P101" i="14"/>
  <c r="P106" i="14"/>
  <c r="P112" i="14"/>
  <c r="P116" i="14"/>
  <c r="P121" i="14"/>
  <c r="P127" i="14"/>
  <c r="P132" i="14"/>
  <c r="P138" i="14"/>
  <c r="P145" i="14"/>
  <c r="P151" i="14"/>
  <c r="P156" i="14"/>
  <c r="P160" i="14"/>
  <c r="P166" i="14"/>
  <c r="P179" i="14"/>
  <c r="P184" i="14"/>
  <c r="P190" i="14"/>
  <c r="P196" i="14"/>
  <c r="P202" i="14"/>
  <c r="P207" i="14"/>
  <c r="P217" i="14"/>
  <c r="P222" i="14"/>
  <c r="P229" i="14"/>
  <c r="P236" i="14"/>
  <c r="P245" i="14"/>
  <c r="P253" i="14"/>
  <c r="P137" i="14"/>
  <c r="P235" i="14"/>
  <c r="P28" i="14"/>
  <c r="P7" i="14"/>
  <c r="P49" i="14"/>
  <c r="P59" i="14"/>
  <c r="P75" i="14"/>
  <c r="P96" i="14"/>
  <c r="P115" i="14"/>
  <c r="P131" i="14"/>
  <c r="P148" i="14"/>
  <c r="V148" i="14" s="1"/>
  <c r="P165" i="14"/>
  <c r="P189" i="14"/>
  <c r="P212" i="14"/>
  <c r="P248" i="14"/>
  <c r="P26" i="14"/>
  <c r="P10" i="14"/>
  <c r="P37" i="14"/>
  <c r="P51" i="14"/>
  <c r="P62" i="14"/>
  <c r="P66" i="14"/>
  <c r="P71" i="14"/>
  <c r="P77" i="14"/>
  <c r="P83" i="14"/>
  <c r="P87" i="14"/>
  <c r="P94" i="14"/>
  <c r="P98" i="14"/>
  <c r="P103" i="14"/>
  <c r="P107" i="14"/>
  <c r="P113" i="14"/>
  <c r="P118" i="14"/>
  <c r="P122" i="14"/>
  <c r="P128" i="14"/>
  <c r="P133" i="14"/>
  <c r="P139" i="14"/>
  <c r="P146" i="14"/>
  <c r="P152" i="14"/>
  <c r="P157" i="14"/>
  <c r="P161" i="14"/>
  <c r="P167" i="14"/>
  <c r="P174" i="14"/>
  <c r="P181" i="14"/>
  <c r="P185" i="14"/>
  <c r="P197" i="14"/>
  <c r="P203" i="14"/>
  <c r="P208" i="14"/>
  <c r="P214" i="14"/>
  <c r="P218" i="14"/>
  <c r="P224" i="14"/>
  <c r="P230" i="14"/>
  <c r="P237" i="14"/>
  <c r="V237" i="14" s="1"/>
  <c r="P246" i="14"/>
  <c r="P164" i="14"/>
  <c r="P24" i="14"/>
  <c r="P39" i="14"/>
  <c r="P80" i="14"/>
  <c r="P91" i="14"/>
  <c r="P105" i="14"/>
  <c r="P120" i="14"/>
  <c r="P142" i="14"/>
  <c r="P154" i="14"/>
  <c r="P172" i="14"/>
  <c r="P183" i="14"/>
  <c r="P199" i="14"/>
  <c r="P216" i="14"/>
  <c r="P232" i="14"/>
  <c r="P5" i="14"/>
  <c r="P22" i="14"/>
  <c r="P31" i="14"/>
  <c r="P42" i="14"/>
  <c r="P46" i="14"/>
  <c r="P55" i="14"/>
  <c r="P29" i="14"/>
  <c r="P25" i="14"/>
  <c r="P21" i="14"/>
  <c r="P8" i="14"/>
  <c r="P34" i="14"/>
  <c r="P38" i="14"/>
  <c r="P43" i="14"/>
  <c r="P48" i="14"/>
  <c r="P52" i="14"/>
  <c r="P56" i="14"/>
  <c r="P63" i="14"/>
  <c r="P67" i="14"/>
  <c r="P74" i="14"/>
  <c r="P78" i="14"/>
  <c r="P84" i="14"/>
  <c r="P88" i="14"/>
  <c r="P95" i="14"/>
  <c r="P99" i="14"/>
  <c r="P104" i="14"/>
  <c r="P108" i="14"/>
  <c r="P114" i="14"/>
  <c r="P119" i="14"/>
  <c r="P125" i="14"/>
  <c r="P130" i="14"/>
  <c r="P134" i="14"/>
  <c r="P140" i="14"/>
  <c r="P147" i="14"/>
  <c r="P153" i="14"/>
  <c r="P158" i="14"/>
  <c r="P162" i="14"/>
  <c r="P171" i="14"/>
  <c r="P175" i="14"/>
  <c r="P182" i="14"/>
  <c r="P186" i="14"/>
  <c r="P192" i="14"/>
  <c r="P198" i="14"/>
  <c r="P204" i="14"/>
  <c r="P211" i="14"/>
  <c r="P215" i="14"/>
  <c r="P220" i="14"/>
  <c r="P226" i="14"/>
  <c r="P231" i="14"/>
  <c r="P239" i="14"/>
  <c r="P247" i="14"/>
  <c r="P73" i="14"/>
  <c r="P188" i="14"/>
  <c r="P18" i="14"/>
  <c r="P17" i="14"/>
  <c r="P13" i="14"/>
  <c r="P12" i="14"/>
  <c r="P191" i="14"/>
  <c r="J292" i="14"/>
  <c r="P50" i="14"/>
  <c r="J298" i="14"/>
  <c r="P213" i="14"/>
  <c r="J299" i="14"/>
  <c r="P64" i="14"/>
  <c r="P173" i="14"/>
  <c r="P254" i="14"/>
  <c r="J201" i="14"/>
  <c r="J124" i="14"/>
  <c r="J265" i="14"/>
  <c r="J209" i="14"/>
  <c r="I309" i="14"/>
  <c r="H309" i="14"/>
  <c r="G309" i="14"/>
  <c r="F309" i="14"/>
  <c r="D309" i="14"/>
  <c r="I308" i="14"/>
  <c r="H308" i="14"/>
  <c r="G308" i="14"/>
  <c r="F308" i="14"/>
  <c r="D308" i="14"/>
  <c r="I306" i="14"/>
  <c r="H306" i="14"/>
  <c r="G306" i="14"/>
  <c r="F306" i="14"/>
  <c r="D306" i="14"/>
  <c r="I304" i="14"/>
  <c r="H304" i="14"/>
  <c r="G304" i="14"/>
  <c r="F304" i="14"/>
  <c r="I303" i="14"/>
  <c r="H303" i="14"/>
  <c r="G303" i="14"/>
  <c r="F303" i="14"/>
  <c r="D303" i="14"/>
  <c r="I302" i="14"/>
  <c r="H302" i="14"/>
  <c r="G302" i="14"/>
  <c r="F302" i="14"/>
  <c r="D302" i="14"/>
  <c r="I301" i="14"/>
  <c r="H301" i="14"/>
  <c r="G301" i="14"/>
  <c r="F301" i="14"/>
  <c r="D301" i="14"/>
  <c r="I300" i="14"/>
  <c r="H300" i="14"/>
  <c r="G300" i="14"/>
  <c r="F300" i="14"/>
  <c r="D300" i="14"/>
  <c r="I297" i="14"/>
  <c r="H297" i="14"/>
  <c r="G297" i="14"/>
  <c r="F297" i="14"/>
  <c r="I296" i="14"/>
  <c r="H296" i="14"/>
  <c r="G296" i="14"/>
  <c r="F296" i="14"/>
  <c r="D296" i="14"/>
  <c r="E294" i="14"/>
  <c r="I293" i="14"/>
  <c r="H293" i="14"/>
  <c r="G293" i="14"/>
  <c r="F293" i="14"/>
  <c r="I291" i="14"/>
  <c r="H291" i="14"/>
  <c r="G291" i="14"/>
  <c r="F291" i="14"/>
  <c r="I290" i="14"/>
  <c r="H290" i="14"/>
  <c r="G290" i="14"/>
  <c r="F290" i="14"/>
  <c r="D290" i="14"/>
  <c r="AE289" i="14"/>
  <c r="I289" i="14"/>
  <c r="H289" i="14"/>
  <c r="G289" i="14"/>
  <c r="F289" i="14"/>
  <c r="D289" i="14"/>
  <c r="AE287" i="14"/>
  <c r="I287" i="14"/>
  <c r="H287" i="14"/>
  <c r="G287" i="14"/>
  <c r="F287" i="14"/>
  <c r="AE286" i="14"/>
  <c r="I286" i="14"/>
  <c r="H286" i="14"/>
  <c r="G286" i="14"/>
  <c r="F286" i="14"/>
  <c r="D286" i="14"/>
  <c r="AE284" i="14"/>
  <c r="I284" i="14"/>
  <c r="H284" i="14"/>
  <c r="G284" i="14"/>
  <c r="F284" i="14"/>
  <c r="AE283" i="14"/>
  <c r="I283" i="14"/>
  <c r="H283" i="14"/>
  <c r="G283" i="14"/>
  <c r="F283" i="14"/>
  <c r="D283" i="14"/>
  <c r="AE282" i="14"/>
  <c r="I282" i="14"/>
  <c r="H282" i="14"/>
  <c r="G282" i="14"/>
  <c r="F282" i="14"/>
  <c r="D282" i="14"/>
  <c r="AE281" i="14"/>
  <c r="I281" i="14"/>
  <c r="H281" i="14"/>
  <c r="G281" i="14"/>
  <c r="F281" i="14"/>
  <c r="D281" i="14"/>
  <c r="AE279" i="14"/>
  <c r="I279" i="14"/>
  <c r="H279" i="14"/>
  <c r="G279" i="14"/>
  <c r="F279" i="14"/>
  <c r="D279" i="14"/>
  <c r="I278" i="14"/>
  <c r="H278" i="14"/>
  <c r="G278" i="14"/>
  <c r="F278" i="14"/>
  <c r="AE276" i="14"/>
  <c r="AE272" i="14"/>
  <c r="I272" i="14"/>
  <c r="H272" i="14"/>
  <c r="G272" i="14"/>
  <c r="F272" i="14"/>
  <c r="D272" i="14"/>
  <c r="AE271" i="14"/>
  <c r="I271" i="14"/>
  <c r="H271" i="14"/>
  <c r="G271" i="14"/>
  <c r="F271" i="14"/>
  <c r="D271" i="14"/>
  <c r="AE269" i="14"/>
  <c r="I269" i="14"/>
  <c r="H269" i="14"/>
  <c r="G269" i="14"/>
  <c r="F269" i="14"/>
  <c r="AE268" i="14"/>
  <c r="I267" i="14"/>
  <c r="H267" i="14"/>
  <c r="G267" i="14"/>
  <c r="F267" i="14"/>
  <c r="D267" i="14"/>
  <c r="I249" i="14"/>
  <c r="H249" i="14"/>
  <c r="G249" i="14"/>
  <c r="F249" i="14"/>
  <c r="I234" i="14"/>
  <c r="H234" i="14"/>
  <c r="G234" i="14"/>
  <c r="F234" i="14"/>
  <c r="E234" i="14"/>
  <c r="J306" i="14"/>
  <c r="AE223" i="14"/>
  <c r="I223" i="14"/>
  <c r="H223" i="14"/>
  <c r="G223" i="14"/>
  <c r="F223" i="14"/>
  <c r="E223" i="14"/>
  <c r="D223" i="14"/>
  <c r="J223" i="14"/>
  <c r="AE219" i="14"/>
  <c r="AE305" i="14" s="1"/>
  <c r="I219" i="14"/>
  <c r="H219" i="14"/>
  <c r="G219" i="14"/>
  <c r="F219" i="14"/>
  <c r="E219" i="14"/>
  <c r="D219" i="14"/>
  <c r="I209" i="14"/>
  <c r="H209" i="14"/>
  <c r="G209" i="14"/>
  <c r="F209" i="14"/>
  <c r="E209" i="14"/>
  <c r="D209" i="14"/>
  <c r="AE187" i="14"/>
  <c r="I187" i="14"/>
  <c r="H187" i="14"/>
  <c r="H206" i="14" s="1"/>
  <c r="G187" i="14"/>
  <c r="G206" i="14" s="1"/>
  <c r="F187" i="14"/>
  <c r="F206" i="14" s="1"/>
  <c r="E187" i="14"/>
  <c r="D187" i="14"/>
  <c r="J187" i="14"/>
  <c r="I177" i="14"/>
  <c r="H177" i="14"/>
  <c r="G177" i="14"/>
  <c r="F177" i="14"/>
  <c r="E177" i="14"/>
  <c r="AE163" i="14"/>
  <c r="I163" i="14"/>
  <c r="H163" i="14"/>
  <c r="G163" i="14"/>
  <c r="F163" i="14"/>
  <c r="D163" i="14"/>
  <c r="E163" i="14"/>
  <c r="I150" i="14"/>
  <c r="H150" i="14"/>
  <c r="G150" i="14"/>
  <c r="F150" i="14"/>
  <c r="E150" i="14"/>
  <c r="AE136" i="14"/>
  <c r="I136" i="14"/>
  <c r="H136" i="14"/>
  <c r="G136" i="14"/>
  <c r="F136" i="14"/>
  <c r="E136" i="14"/>
  <c r="D136" i="14"/>
  <c r="D155" i="14" s="1"/>
  <c r="AE110" i="14"/>
  <c r="I110" i="14"/>
  <c r="H110" i="14"/>
  <c r="H129" i="14" s="1"/>
  <c r="G110" i="14"/>
  <c r="G129" i="14" s="1"/>
  <c r="F110" i="14"/>
  <c r="F129" i="14" s="1"/>
  <c r="D110" i="14"/>
  <c r="E110" i="14"/>
  <c r="I93" i="14"/>
  <c r="H93" i="14"/>
  <c r="G93" i="14"/>
  <c r="F93" i="14"/>
  <c r="D93" i="14"/>
  <c r="I89" i="14"/>
  <c r="H89" i="14"/>
  <c r="G89" i="14"/>
  <c r="F89" i="14"/>
  <c r="D89" i="14"/>
  <c r="J89" i="14"/>
  <c r="I72" i="14"/>
  <c r="H72" i="14"/>
  <c r="G72" i="14"/>
  <c r="F72" i="14"/>
  <c r="D72" i="14"/>
  <c r="E72" i="14"/>
  <c r="J279" i="14"/>
  <c r="I61" i="14"/>
  <c r="H61" i="14"/>
  <c r="G61" i="14"/>
  <c r="F61" i="14"/>
  <c r="E61" i="14"/>
  <c r="D61" i="14"/>
  <c r="J61" i="14"/>
  <c r="P61" i="14" s="1"/>
  <c r="I57" i="14"/>
  <c r="H57" i="14"/>
  <c r="G57" i="14"/>
  <c r="F57" i="14"/>
  <c r="D57" i="14"/>
  <c r="E57" i="14"/>
  <c r="J57" i="14"/>
  <c r="AE40" i="14"/>
  <c r="I40" i="14"/>
  <c r="H40" i="14"/>
  <c r="G40" i="14"/>
  <c r="F40" i="14"/>
  <c r="D40" i="14"/>
  <c r="I30" i="14"/>
  <c r="I277" i="14" s="1"/>
  <c r="H30" i="14"/>
  <c r="H277" i="14" s="1"/>
  <c r="G30" i="14"/>
  <c r="G277" i="14" s="1"/>
  <c r="F30" i="14"/>
  <c r="F277" i="14" s="1"/>
  <c r="E277" i="14"/>
  <c r="AF200" i="14" l="1"/>
  <c r="AD285" i="14"/>
  <c r="AF69" i="14"/>
  <c r="AE129" i="14"/>
  <c r="P265" i="14"/>
  <c r="AD9" i="14"/>
  <c r="AF9" i="14" s="1"/>
  <c r="V64" i="14"/>
  <c r="P280" i="14"/>
  <c r="V73" i="14"/>
  <c r="V204" i="14"/>
  <c r="V182" i="14"/>
  <c r="V158" i="14"/>
  <c r="V134" i="14"/>
  <c r="V114" i="14"/>
  <c r="V95" i="14"/>
  <c r="V74" i="14"/>
  <c r="V34" i="14"/>
  <c r="V29" i="14"/>
  <c r="V31" i="14"/>
  <c r="V216" i="14"/>
  <c r="V154" i="14"/>
  <c r="V91" i="14"/>
  <c r="V164" i="14"/>
  <c r="V224" i="14"/>
  <c r="V203" i="14"/>
  <c r="V174" i="14"/>
  <c r="V152" i="14"/>
  <c r="V128" i="14"/>
  <c r="V107" i="14"/>
  <c r="V87" i="14"/>
  <c r="V66" i="14"/>
  <c r="V10" i="14"/>
  <c r="V189" i="14"/>
  <c r="V115" i="14"/>
  <c r="V49" i="14"/>
  <c r="V137" i="14"/>
  <c r="V229" i="14"/>
  <c r="V202" i="14"/>
  <c r="V179" i="14"/>
  <c r="V151" i="14"/>
  <c r="V127" i="14"/>
  <c r="V106" i="14"/>
  <c r="V86" i="14"/>
  <c r="V65" i="14"/>
  <c r="V41" i="14"/>
  <c r="V111" i="14"/>
  <c r="V205" i="14"/>
  <c r="V135" i="14"/>
  <c r="V85" i="14"/>
  <c r="V35" i="14"/>
  <c r="V17" i="14"/>
  <c r="V247" i="14"/>
  <c r="V220" i="14"/>
  <c r="V198" i="14"/>
  <c r="V175" i="14"/>
  <c r="V153" i="14"/>
  <c r="V130" i="14"/>
  <c r="V108" i="14"/>
  <c r="V88" i="14"/>
  <c r="V67" i="14"/>
  <c r="V48" i="14"/>
  <c r="V8" i="14"/>
  <c r="V55" i="14"/>
  <c r="V22" i="14"/>
  <c r="V199" i="14"/>
  <c r="V142" i="14"/>
  <c r="V80" i="14"/>
  <c r="V246" i="14"/>
  <c r="V218" i="14"/>
  <c r="V197" i="14"/>
  <c r="V167" i="14"/>
  <c r="V146" i="14"/>
  <c r="V122" i="14"/>
  <c r="V103" i="14"/>
  <c r="V83" i="14"/>
  <c r="V62" i="14"/>
  <c r="V26" i="14"/>
  <c r="V165" i="14"/>
  <c r="V96" i="14"/>
  <c r="V7" i="14"/>
  <c r="V253" i="14"/>
  <c r="V222" i="14"/>
  <c r="V196" i="14"/>
  <c r="V166" i="14"/>
  <c r="V145" i="14"/>
  <c r="V121" i="14"/>
  <c r="V101" i="14"/>
  <c r="V81" i="14"/>
  <c r="V36" i="14"/>
  <c r="V23" i="14"/>
  <c r="V242" i="14"/>
  <c r="V195" i="14"/>
  <c r="P297" i="14"/>
  <c r="V126" i="14"/>
  <c r="V68" i="14"/>
  <c r="V20" i="14"/>
  <c r="V254" i="14"/>
  <c r="V239" i="14"/>
  <c r="P293" i="14"/>
  <c r="V215" i="14"/>
  <c r="V192" i="14"/>
  <c r="V171" i="14"/>
  <c r="V147" i="14"/>
  <c r="V125" i="14"/>
  <c r="V104" i="14"/>
  <c r="V84" i="14"/>
  <c r="V63" i="14"/>
  <c r="V279" i="14" s="1"/>
  <c r="V43" i="14"/>
  <c r="V21" i="14"/>
  <c r="V46" i="14"/>
  <c r="V5" i="14"/>
  <c r="V183" i="14"/>
  <c r="V120" i="14"/>
  <c r="V39" i="14"/>
  <c r="AD237" i="14"/>
  <c r="AF237" i="14" s="1"/>
  <c r="V214" i="14"/>
  <c r="V185" i="14"/>
  <c r="V139" i="14"/>
  <c r="V118" i="14"/>
  <c r="V98" i="14"/>
  <c r="V77" i="14"/>
  <c r="V51" i="14"/>
  <c r="V248" i="14"/>
  <c r="P304" i="14"/>
  <c r="AD148" i="14"/>
  <c r="AF148" i="14" s="1"/>
  <c r="V75" i="14"/>
  <c r="V28" i="14"/>
  <c r="V245" i="14"/>
  <c r="V217" i="14"/>
  <c r="V190" i="14"/>
  <c r="V160" i="14"/>
  <c r="V138" i="14"/>
  <c r="V116" i="14"/>
  <c r="P294" i="14"/>
  <c r="V97" i="14"/>
  <c r="V76" i="14"/>
  <c r="V54" i="14"/>
  <c r="V6" i="14"/>
  <c r="V27" i="14"/>
  <c r="V228" i="14"/>
  <c r="V178" i="14"/>
  <c r="V109" i="14"/>
  <c r="V53" i="14"/>
  <c r="V173" i="14"/>
  <c r="V12" i="14"/>
  <c r="V188" i="14"/>
  <c r="V231" i="14"/>
  <c r="V211" i="14"/>
  <c r="V186" i="14"/>
  <c r="P287" i="14"/>
  <c r="V162" i="14"/>
  <c r="V140" i="14"/>
  <c r="V119" i="14"/>
  <c r="V99" i="14"/>
  <c r="V78" i="14"/>
  <c r="V56" i="14"/>
  <c r="V38" i="14"/>
  <c r="V25" i="14"/>
  <c r="V42" i="14"/>
  <c r="V172" i="14"/>
  <c r="V105" i="14"/>
  <c r="V24" i="14"/>
  <c r="V230" i="14"/>
  <c r="V208" i="14"/>
  <c r="V181" i="14"/>
  <c r="V157" i="14"/>
  <c r="V133" i="14"/>
  <c r="V113" i="14"/>
  <c r="V94" i="14"/>
  <c r="V71" i="14"/>
  <c r="V37" i="14"/>
  <c r="V212" i="14"/>
  <c r="V131" i="14"/>
  <c r="V235" i="14"/>
  <c r="V236" i="14"/>
  <c r="V207" i="14"/>
  <c r="V184" i="14"/>
  <c r="V132" i="14"/>
  <c r="V112" i="14"/>
  <c r="V92" i="14"/>
  <c r="V70" i="14"/>
  <c r="V45" i="14"/>
  <c r="V210" i="14"/>
  <c r="AD210" i="14" s="1"/>
  <c r="AF210" i="14" s="1"/>
  <c r="V221" i="14"/>
  <c r="V159" i="14"/>
  <c r="V100" i="14"/>
  <c r="V44" i="14"/>
  <c r="V13" i="14"/>
  <c r="V60" i="14"/>
  <c r="V59" i="14"/>
  <c r="V52" i="14"/>
  <c r="V161" i="14"/>
  <c r="V156" i="14"/>
  <c r="V232" i="14"/>
  <c r="V226" i="14"/>
  <c r="P274" i="14"/>
  <c r="P302" i="14"/>
  <c r="E310" i="14"/>
  <c r="AE310" i="14"/>
  <c r="D305" i="14"/>
  <c r="P301" i="14"/>
  <c r="P281" i="14"/>
  <c r="P291" i="14"/>
  <c r="P282" i="14"/>
  <c r="P279" i="14"/>
  <c r="P303" i="14"/>
  <c r="P283" i="14"/>
  <c r="P296" i="14"/>
  <c r="P309" i="14"/>
  <c r="P267" i="14"/>
  <c r="P269" i="14"/>
  <c r="P278" i="14"/>
  <c r="P271" i="14"/>
  <c r="P308" i="14"/>
  <c r="P286" i="14"/>
  <c r="P284" i="14"/>
  <c r="P290" i="14"/>
  <c r="P268" i="14"/>
  <c r="P201" i="14"/>
  <c r="P89" i="14"/>
  <c r="P150" i="14"/>
  <c r="P209" i="14"/>
  <c r="P57" i="14"/>
  <c r="P124" i="14"/>
  <c r="V18" i="14"/>
  <c r="V11" i="14"/>
  <c r="P270" i="14"/>
  <c r="P187" i="14"/>
  <c r="P223" i="14"/>
  <c r="P306" i="14"/>
  <c r="P276" i="14"/>
  <c r="P272" i="14"/>
  <c r="V50" i="14"/>
  <c r="P298" i="14"/>
  <c r="P300" i="14"/>
  <c r="V213" i="14"/>
  <c r="P299" i="14"/>
  <c r="V191" i="14"/>
  <c r="P292" i="14"/>
  <c r="AE255" i="14"/>
  <c r="P289" i="14"/>
  <c r="AE277" i="14"/>
  <c r="D288" i="14"/>
  <c r="G180" i="14"/>
  <c r="F180" i="14"/>
  <c r="H180" i="14"/>
  <c r="F155" i="14"/>
  <c r="H155" i="14"/>
  <c r="AE206" i="14"/>
  <c r="G155" i="14"/>
  <c r="E155" i="14"/>
  <c r="I155" i="14"/>
  <c r="D180" i="14"/>
  <c r="D255" i="14"/>
  <c r="AE225" i="14"/>
  <c r="D206" i="14"/>
  <c r="AE180" i="14"/>
  <c r="G102" i="14"/>
  <c r="E249" i="14"/>
  <c r="I206" i="14"/>
  <c r="E225" i="14"/>
  <c r="I225" i="14"/>
  <c r="E40" i="14"/>
  <c r="J302" i="14"/>
  <c r="D129" i="14"/>
  <c r="H255" i="14"/>
  <c r="D102" i="14"/>
  <c r="H102" i="14"/>
  <c r="E89" i="14"/>
  <c r="H310" i="14"/>
  <c r="J283" i="14"/>
  <c r="E180" i="14"/>
  <c r="G225" i="14"/>
  <c r="I310" i="14"/>
  <c r="G288" i="14"/>
  <c r="J267" i="14"/>
  <c r="J272" i="14"/>
  <c r="J271" i="14"/>
  <c r="I102" i="14"/>
  <c r="H305" i="14"/>
  <c r="D225" i="14"/>
  <c r="H225" i="14"/>
  <c r="E129" i="14"/>
  <c r="F102" i="14"/>
  <c r="AE102" i="14"/>
  <c r="J308" i="14"/>
  <c r="J30" i="14"/>
  <c r="J93" i="14"/>
  <c r="J309" i="14"/>
  <c r="F310" i="14"/>
  <c r="G305" i="14"/>
  <c r="J269" i="14"/>
  <c r="H288" i="14"/>
  <c r="J290" i="14"/>
  <c r="I129" i="14"/>
  <c r="J136" i="14"/>
  <c r="AE155" i="14"/>
  <c r="J296" i="14"/>
  <c r="G310" i="14"/>
  <c r="F225" i="14"/>
  <c r="J284" i="14"/>
  <c r="I288" i="14"/>
  <c r="J289" i="14"/>
  <c r="J303" i="14"/>
  <c r="J110" i="14"/>
  <c r="J219" i="14"/>
  <c r="J206" i="14"/>
  <c r="J300" i="14"/>
  <c r="I180" i="14"/>
  <c r="D310" i="14"/>
  <c r="J282" i="14"/>
  <c r="F288" i="14"/>
  <c r="F255" i="14"/>
  <c r="I305" i="14"/>
  <c r="G255" i="14"/>
  <c r="AE288" i="14"/>
  <c r="J301" i="14"/>
  <c r="F305" i="14"/>
  <c r="J249" i="14"/>
  <c r="I255" i="14"/>
  <c r="J291" i="14"/>
  <c r="F215" i="13"/>
  <c r="V297" i="14" l="1"/>
  <c r="V269" i="14"/>
  <c r="V61" i="14"/>
  <c r="V93" i="14"/>
  <c r="AD52" i="14"/>
  <c r="AF52" i="14" s="1"/>
  <c r="AD44" i="14"/>
  <c r="AF44" i="14" s="1"/>
  <c r="AD112" i="14"/>
  <c r="AF112" i="14" s="1"/>
  <c r="AD236" i="14"/>
  <c r="AF236" i="14" s="1"/>
  <c r="AD37" i="14"/>
  <c r="AF37" i="14" s="1"/>
  <c r="AD133" i="14"/>
  <c r="AF133" i="14" s="1"/>
  <c r="AD230" i="14"/>
  <c r="AF230" i="14" s="1"/>
  <c r="AD42" i="14"/>
  <c r="AF42" i="14" s="1"/>
  <c r="AD162" i="14"/>
  <c r="AF162" i="14" s="1"/>
  <c r="AD231" i="14"/>
  <c r="AF231" i="14" s="1"/>
  <c r="AD27" i="14"/>
  <c r="AF27" i="14" s="1"/>
  <c r="AD97" i="14"/>
  <c r="AF97" i="14" s="1"/>
  <c r="AD160" i="14"/>
  <c r="AF160" i="14" s="1"/>
  <c r="AD28" i="14"/>
  <c r="AF28" i="14" s="1"/>
  <c r="AD248" i="14"/>
  <c r="V304" i="14"/>
  <c r="AD118" i="14"/>
  <c r="AF118" i="14" s="1"/>
  <c r="AD5" i="14"/>
  <c r="AF5" i="14" s="1"/>
  <c r="AD63" i="14"/>
  <c r="AD147" i="14"/>
  <c r="AF147" i="14" s="1"/>
  <c r="AD68" i="14"/>
  <c r="AF68" i="14" s="1"/>
  <c r="AD242" i="14"/>
  <c r="AF242" i="14" s="1"/>
  <c r="AD196" i="14"/>
  <c r="AF196" i="14" s="1"/>
  <c r="AD96" i="14"/>
  <c r="AF96" i="14" s="1"/>
  <c r="AD83" i="14"/>
  <c r="AF83" i="14" s="1"/>
  <c r="AD167" i="14"/>
  <c r="AF167" i="14" s="1"/>
  <c r="AD80" i="14"/>
  <c r="AF80" i="14" s="1"/>
  <c r="AD55" i="14"/>
  <c r="AF55" i="14" s="1"/>
  <c r="AD88" i="14"/>
  <c r="AF88" i="14" s="1"/>
  <c r="AD175" i="14"/>
  <c r="AF175" i="14" s="1"/>
  <c r="AD17" i="14"/>
  <c r="AF17" i="14" s="1"/>
  <c r="AD86" i="14"/>
  <c r="AF86" i="14" s="1"/>
  <c r="AD49" i="14"/>
  <c r="AF49" i="14" s="1"/>
  <c r="AD66" i="14"/>
  <c r="AF66" i="14" s="1"/>
  <c r="AD152" i="14"/>
  <c r="AF152" i="14" s="1"/>
  <c r="AD164" i="14"/>
  <c r="AF164" i="14" s="1"/>
  <c r="AD95" i="14"/>
  <c r="AF95" i="14" s="1"/>
  <c r="AD64" i="14"/>
  <c r="V280" i="14"/>
  <c r="AD59" i="14"/>
  <c r="AF59" i="14" s="1"/>
  <c r="AD45" i="14"/>
  <c r="AF45" i="14" s="1"/>
  <c r="AD132" i="14"/>
  <c r="AF132" i="14" s="1"/>
  <c r="AD235" i="14"/>
  <c r="AF235" i="14" s="1"/>
  <c r="AD71" i="14"/>
  <c r="AF71" i="14" s="1"/>
  <c r="AD24" i="14"/>
  <c r="AF24" i="14" s="1"/>
  <c r="AD25" i="14"/>
  <c r="AF25" i="14" s="1"/>
  <c r="AD188" i="14"/>
  <c r="AF188" i="14" s="1"/>
  <c r="AD109" i="14"/>
  <c r="AF109" i="14" s="1"/>
  <c r="AD6" i="14"/>
  <c r="AF6" i="14" s="1"/>
  <c r="AD190" i="14"/>
  <c r="AF190" i="14" s="1"/>
  <c r="AD75" i="14"/>
  <c r="AF75" i="14" s="1"/>
  <c r="AD51" i="14"/>
  <c r="AF51" i="14" s="1"/>
  <c r="AD139" i="14"/>
  <c r="AF139" i="14" s="1"/>
  <c r="AD39" i="14"/>
  <c r="AF39" i="14" s="1"/>
  <c r="AD84" i="14"/>
  <c r="AF84" i="14" s="1"/>
  <c r="AD171" i="14"/>
  <c r="AF171" i="14" s="1"/>
  <c r="AD239" i="14"/>
  <c r="AD126" i="14"/>
  <c r="AF126" i="14" s="1"/>
  <c r="AD23" i="14"/>
  <c r="AF23" i="14" s="1"/>
  <c r="AD121" i="14"/>
  <c r="AF121" i="14" s="1"/>
  <c r="AD222" i="14"/>
  <c r="AF222" i="14" s="1"/>
  <c r="AD165" i="14"/>
  <c r="AF165" i="14" s="1"/>
  <c r="AD197" i="14"/>
  <c r="AF197" i="14" s="1"/>
  <c r="AD142" i="14"/>
  <c r="AF142" i="14" s="1"/>
  <c r="AD8" i="14"/>
  <c r="AD108" i="14"/>
  <c r="AF108" i="14" s="1"/>
  <c r="AD198" i="14"/>
  <c r="AF198" i="14" s="1"/>
  <c r="AD35" i="14"/>
  <c r="AF35" i="14" s="1"/>
  <c r="AD111" i="14"/>
  <c r="AF111" i="14" s="1"/>
  <c r="AD202" i="14"/>
  <c r="AF202" i="14" s="1"/>
  <c r="AD115" i="14"/>
  <c r="AF115" i="14" s="1"/>
  <c r="AD87" i="14"/>
  <c r="AF87" i="14" s="1"/>
  <c r="AD174" i="14"/>
  <c r="AF174" i="14" s="1"/>
  <c r="AD91" i="14"/>
  <c r="AF91" i="14" s="1"/>
  <c r="AD29" i="14"/>
  <c r="AF29" i="14" s="1"/>
  <c r="AD114" i="14"/>
  <c r="AF114" i="14" s="1"/>
  <c r="AD60" i="14"/>
  <c r="AF60" i="14" s="1"/>
  <c r="AD159" i="14"/>
  <c r="AF159" i="14" s="1"/>
  <c r="AD184" i="14"/>
  <c r="AF184" i="14" s="1"/>
  <c r="AD94" i="14"/>
  <c r="AF94" i="14" s="1"/>
  <c r="AD38" i="14"/>
  <c r="AF38" i="14" s="1"/>
  <c r="AD119" i="14"/>
  <c r="AF119" i="14" s="1"/>
  <c r="AD186" i="14"/>
  <c r="V287" i="14"/>
  <c r="AD12" i="14"/>
  <c r="AF12" i="14" s="1"/>
  <c r="AD54" i="14"/>
  <c r="AF54" i="14" s="1"/>
  <c r="AD116" i="14"/>
  <c r="V294" i="14"/>
  <c r="AD217" i="14"/>
  <c r="AF217" i="14" s="1"/>
  <c r="AD77" i="14"/>
  <c r="AF77" i="14" s="1"/>
  <c r="AD185" i="14"/>
  <c r="AF185" i="14" s="1"/>
  <c r="AD120" i="14"/>
  <c r="AF120" i="14" s="1"/>
  <c r="AD21" i="14"/>
  <c r="AF21" i="14" s="1"/>
  <c r="AD36" i="14"/>
  <c r="AF36" i="14" s="1"/>
  <c r="AD145" i="14"/>
  <c r="AF145" i="14" s="1"/>
  <c r="AD26" i="14"/>
  <c r="AF26" i="14" s="1"/>
  <c r="AD122" i="14"/>
  <c r="AF122" i="14" s="1"/>
  <c r="AD218" i="14"/>
  <c r="AF218" i="14" s="1"/>
  <c r="AD48" i="14"/>
  <c r="AF48" i="14" s="1"/>
  <c r="AD220" i="14"/>
  <c r="AF220" i="14" s="1"/>
  <c r="AD41" i="14"/>
  <c r="AF41" i="14" s="1"/>
  <c r="AD229" i="14"/>
  <c r="AF229" i="14" s="1"/>
  <c r="AD189" i="14"/>
  <c r="AF189" i="14" s="1"/>
  <c r="AD107" i="14"/>
  <c r="AF107" i="14" s="1"/>
  <c r="AD203" i="14"/>
  <c r="AF203" i="14" s="1"/>
  <c r="AD134" i="14"/>
  <c r="AF134" i="14" s="1"/>
  <c r="AD73" i="14"/>
  <c r="AF73" i="14" s="1"/>
  <c r="AD161" i="14"/>
  <c r="AF161" i="14" s="1"/>
  <c r="AD221" i="14"/>
  <c r="AF221" i="14" s="1"/>
  <c r="AD92" i="14"/>
  <c r="AF92" i="14" s="1"/>
  <c r="AD207" i="14"/>
  <c r="AF207" i="14" s="1"/>
  <c r="AD212" i="14"/>
  <c r="AF212" i="14" s="1"/>
  <c r="AD113" i="14"/>
  <c r="AF113" i="14" s="1"/>
  <c r="AD208" i="14"/>
  <c r="AF208" i="14" s="1"/>
  <c r="AD172" i="14"/>
  <c r="AF172" i="14" s="1"/>
  <c r="AD56" i="14"/>
  <c r="AF56" i="14" s="1"/>
  <c r="AD140" i="14"/>
  <c r="AF140" i="14" s="1"/>
  <c r="AD211" i="14"/>
  <c r="AF211" i="14" s="1"/>
  <c r="AD173" i="14"/>
  <c r="AF173" i="14" s="1"/>
  <c r="AD76" i="14"/>
  <c r="AF76" i="14" s="1"/>
  <c r="AD138" i="14"/>
  <c r="AF138" i="14" s="1"/>
  <c r="AD245" i="14"/>
  <c r="AF245" i="14" s="1"/>
  <c r="AD214" i="14"/>
  <c r="AF214" i="14" s="1"/>
  <c r="AD183" i="14"/>
  <c r="AF183" i="14" s="1"/>
  <c r="AD43" i="14"/>
  <c r="AF43" i="14" s="1"/>
  <c r="AD125" i="14"/>
  <c r="AF125" i="14" s="1"/>
  <c r="AD215" i="14"/>
  <c r="AF215" i="14" s="1"/>
  <c r="AD20" i="14"/>
  <c r="AF20" i="14" s="1"/>
  <c r="AD195" i="14"/>
  <c r="AD81" i="14"/>
  <c r="AF81" i="14" s="1"/>
  <c r="AD166" i="14"/>
  <c r="AF166" i="14" s="1"/>
  <c r="AD7" i="14"/>
  <c r="AF7" i="14" s="1"/>
  <c r="AD146" i="14"/>
  <c r="AF146" i="14" s="1"/>
  <c r="AD246" i="14"/>
  <c r="AF246" i="14" s="1"/>
  <c r="AD67" i="14"/>
  <c r="AF67" i="14" s="1"/>
  <c r="AD153" i="14"/>
  <c r="AF153" i="14" s="1"/>
  <c r="AD247" i="14"/>
  <c r="AF247" i="14" s="1"/>
  <c r="AD135" i="14"/>
  <c r="AF135" i="14" s="1"/>
  <c r="AD151" i="14"/>
  <c r="AF151" i="14" s="1"/>
  <c r="AD10" i="14"/>
  <c r="AD224" i="14"/>
  <c r="AD216" i="14"/>
  <c r="AF216" i="14" s="1"/>
  <c r="AD74" i="14"/>
  <c r="AF74" i="14" s="1"/>
  <c r="AD158" i="14"/>
  <c r="AF158" i="14" s="1"/>
  <c r="AD53" i="14"/>
  <c r="AF53" i="14" s="1"/>
  <c r="AD85" i="14"/>
  <c r="AF85" i="14" s="1"/>
  <c r="AD34" i="14"/>
  <c r="AF34" i="14" s="1"/>
  <c r="AD31" i="14"/>
  <c r="AF31" i="14" s="1"/>
  <c r="AD65" i="14"/>
  <c r="AF65" i="14" s="1"/>
  <c r="AD228" i="14"/>
  <c r="AF228" i="14" s="1"/>
  <c r="AD156" i="14"/>
  <c r="AF156" i="14" s="1"/>
  <c r="AD157" i="14"/>
  <c r="AF157" i="14" s="1"/>
  <c r="AD199" i="14"/>
  <c r="AF199" i="14" s="1"/>
  <c r="AD192" i="14"/>
  <c r="V293" i="14"/>
  <c r="AD254" i="14"/>
  <c r="AF254" i="14" s="1"/>
  <c r="AD253" i="14"/>
  <c r="AF253" i="14" s="1"/>
  <c r="AD205" i="14"/>
  <c r="AF205" i="14" s="1"/>
  <c r="AD204" i="14"/>
  <c r="AF204" i="14" s="1"/>
  <c r="AD179" i="14"/>
  <c r="AF179" i="14" s="1"/>
  <c r="AD178" i="14"/>
  <c r="AF178" i="14" s="1"/>
  <c r="AD154" i="14"/>
  <c r="AF154" i="14" s="1"/>
  <c r="AD128" i="14"/>
  <c r="AF128" i="14" s="1"/>
  <c r="AD127" i="14"/>
  <c r="AF127" i="14" s="1"/>
  <c r="AD101" i="14"/>
  <c r="AF101" i="14" s="1"/>
  <c r="AD100" i="14"/>
  <c r="AF100" i="14" s="1"/>
  <c r="AD99" i="14"/>
  <c r="AF99" i="14" s="1"/>
  <c r="AD98" i="14"/>
  <c r="AF98" i="14" s="1"/>
  <c r="AD105" i="14"/>
  <c r="AF105" i="14" s="1"/>
  <c r="AD181" i="14"/>
  <c r="AF181" i="14" s="1"/>
  <c r="AD182" i="14"/>
  <c r="AF182" i="14" s="1"/>
  <c r="AD131" i="14"/>
  <c r="AF131" i="14" s="1"/>
  <c r="AD106" i="14"/>
  <c r="AF106" i="14" s="1"/>
  <c r="AD103" i="14"/>
  <c r="AF103" i="14" s="1"/>
  <c r="AD104" i="14"/>
  <c r="AF104" i="14" s="1"/>
  <c r="AD232" i="14"/>
  <c r="AF232" i="14" s="1"/>
  <c r="AD226" i="14"/>
  <c r="AF226" i="14" s="1"/>
  <c r="AD70" i="14"/>
  <c r="AF70" i="14" s="1"/>
  <c r="AD62" i="14"/>
  <c r="AF62" i="14" s="1"/>
  <c r="AD13" i="14"/>
  <c r="AF13" i="14" s="1"/>
  <c r="AD137" i="14"/>
  <c r="AF137" i="14" s="1"/>
  <c r="AD130" i="14"/>
  <c r="AF130" i="14" s="1"/>
  <c r="AD22" i="14"/>
  <c r="AF22" i="14" s="1"/>
  <c r="AD46" i="14"/>
  <c r="AF46" i="14" s="1"/>
  <c r="AD78" i="14"/>
  <c r="AF78" i="14" s="1"/>
  <c r="V308" i="14"/>
  <c r="V300" i="14"/>
  <c r="V283" i="14"/>
  <c r="V265" i="14"/>
  <c r="V296" i="14"/>
  <c r="V272" i="14"/>
  <c r="V276" i="14"/>
  <c r="V281" i="14"/>
  <c r="V187" i="14"/>
  <c r="AD187" i="14" s="1"/>
  <c r="AF187" i="14" s="1"/>
  <c r="V209" i="14"/>
  <c r="AD209" i="14" s="1"/>
  <c r="AF209" i="14" s="1"/>
  <c r="V286" i="14"/>
  <c r="V267" i="14"/>
  <c r="V223" i="14"/>
  <c r="AD223" i="14" s="1"/>
  <c r="AF223" i="14" s="1"/>
  <c r="V301" i="14"/>
  <c r="V290" i="14"/>
  <c r="V124" i="14"/>
  <c r="AD124" i="14" s="1"/>
  <c r="AF124" i="14" s="1"/>
  <c r="V150" i="14"/>
  <c r="AD150" i="14" s="1"/>
  <c r="AF150" i="14" s="1"/>
  <c r="V278" i="14"/>
  <c r="V291" i="14"/>
  <c r="V306" i="14"/>
  <c r="V303" i="14"/>
  <c r="V282" i="14"/>
  <c r="V89" i="14"/>
  <c r="AD89" i="14" s="1"/>
  <c r="AF89" i="14" s="1"/>
  <c r="V289" i="14"/>
  <c r="V284" i="14"/>
  <c r="V302" i="14"/>
  <c r="V309" i="14"/>
  <c r="V201" i="14"/>
  <c r="AD201" i="14" s="1"/>
  <c r="V268" i="14"/>
  <c r="V57" i="14"/>
  <c r="AD57" i="14" s="1"/>
  <c r="AF57" i="14" s="1"/>
  <c r="E288" i="14"/>
  <c r="E102" i="14"/>
  <c r="AD18" i="14"/>
  <c r="AF18" i="14" s="1"/>
  <c r="V274" i="14"/>
  <c r="AE256" i="14"/>
  <c r="E255" i="14"/>
  <c r="E305" i="14"/>
  <c r="J155" i="14"/>
  <c r="V271" i="14"/>
  <c r="P249" i="14"/>
  <c r="P177" i="14"/>
  <c r="P163" i="14"/>
  <c r="P234" i="14"/>
  <c r="P206" i="14"/>
  <c r="AD11" i="14"/>
  <c r="AF11" i="14" s="1"/>
  <c r="V270" i="14"/>
  <c r="P30" i="14"/>
  <c r="AD191" i="14"/>
  <c r="AF191" i="14" s="1"/>
  <c r="V292" i="14"/>
  <c r="AD213" i="14"/>
  <c r="AF213" i="14" s="1"/>
  <c r="V299" i="14"/>
  <c r="AD50" i="14"/>
  <c r="AF50" i="14" s="1"/>
  <c r="V298" i="14"/>
  <c r="P110" i="14"/>
  <c r="J310" i="14"/>
  <c r="P93" i="14"/>
  <c r="J225" i="14"/>
  <c r="P219" i="14"/>
  <c r="P136" i="14"/>
  <c r="J277" i="14"/>
  <c r="J129" i="14"/>
  <c r="J180" i="14"/>
  <c r="G256" i="14"/>
  <c r="G311" i="14" s="1"/>
  <c r="I256" i="14"/>
  <c r="I311" i="14" s="1"/>
  <c r="F256" i="14"/>
  <c r="F311" i="14" s="1"/>
  <c r="H256" i="14"/>
  <c r="H311" i="14" s="1"/>
  <c r="J281" i="14"/>
  <c r="D256" i="14"/>
  <c r="D311" i="14" s="1"/>
  <c r="J278" i="14"/>
  <c r="J286" i="14"/>
  <c r="J255" i="14"/>
  <c r="J72" i="14"/>
  <c r="E206" i="14"/>
  <c r="J305" i="14"/>
  <c r="J40" i="14"/>
  <c r="F44" i="13"/>
  <c r="AD297" i="14" l="1"/>
  <c r="AF248" i="14"/>
  <c r="AD304" i="14"/>
  <c r="AF201" i="14"/>
  <c r="AF195" i="14"/>
  <c r="AF116" i="14"/>
  <c r="AD294" i="14"/>
  <c r="AD287" i="14"/>
  <c r="AF239" i="14"/>
  <c r="AD293" i="14"/>
  <c r="AD309" i="14"/>
  <c r="AF192" i="14"/>
  <c r="AF186" i="14"/>
  <c r="AD279" i="14"/>
  <c r="AF63" i="14"/>
  <c r="AD306" i="14"/>
  <c r="AF224" i="14"/>
  <c r="AD280" i="14"/>
  <c r="AF64" i="14"/>
  <c r="AD308" i="14"/>
  <c r="AD269" i="14"/>
  <c r="AF10" i="14"/>
  <c r="AD283" i="14"/>
  <c r="AD268" i="14"/>
  <c r="AF8" i="14"/>
  <c r="AD282" i="14"/>
  <c r="AE311" i="14"/>
  <c r="AD93" i="14"/>
  <c r="AF93" i="14" s="1"/>
  <c r="AD61" i="14"/>
  <c r="AF61" i="14" s="1"/>
  <c r="AD272" i="14"/>
  <c r="AD296" i="14"/>
  <c r="AD284" i="14"/>
  <c r="AD286" i="14"/>
  <c r="AD276" i="14"/>
  <c r="AD300" i="14"/>
  <c r="AD290" i="14"/>
  <c r="AD267" i="14"/>
  <c r="AD291" i="14"/>
  <c r="AD265" i="14"/>
  <c r="AD302" i="14"/>
  <c r="AD301" i="14"/>
  <c r="AD303" i="14"/>
  <c r="AD289" i="14"/>
  <c r="AD281" i="14"/>
  <c r="AD278" i="14"/>
  <c r="V177" i="14"/>
  <c r="AD177" i="14" s="1"/>
  <c r="AF177" i="14" s="1"/>
  <c r="V310" i="14"/>
  <c r="V206" i="14"/>
  <c r="AD206" i="14" s="1"/>
  <c r="AF206" i="14" s="1"/>
  <c r="V249" i="14"/>
  <c r="AD249" i="14" s="1"/>
  <c r="AF249" i="14" s="1"/>
  <c r="V136" i="14"/>
  <c r="AD136" i="14" s="1"/>
  <c r="AF136" i="14" s="1"/>
  <c r="V219" i="14"/>
  <c r="AD219" i="14" s="1"/>
  <c r="AF219" i="14" s="1"/>
  <c r="V110" i="14"/>
  <c r="AD110" i="14" s="1"/>
  <c r="AF110" i="14" s="1"/>
  <c r="V30" i="14"/>
  <c r="AD30" i="14" s="1"/>
  <c r="V163" i="14"/>
  <c r="AD163" i="14" s="1"/>
  <c r="AF163" i="14" s="1"/>
  <c r="V234" i="14"/>
  <c r="AD234" i="14" s="1"/>
  <c r="AF234" i="14" s="1"/>
  <c r="AD271" i="14"/>
  <c r="AD274" i="14"/>
  <c r="P72" i="14"/>
  <c r="P155" i="14"/>
  <c r="P40" i="14"/>
  <c r="P129" i="14"/>
  <c r="P180" i="14"/>
  <c r="P225" i="14"/>
  <c r="P255" i="14"/>
  <c r="AD270" i="14"/>
  <c r="AD299" i="14"/>
  <c r="AD298" i="14"/>
  <c r="AD292" i="14"/>
  <c r="P310" i="14"/>
  <c r="P277" i="14"/>
  <c r="P305" i="14"/>
  <c r="E256" i="14"/>
  <c r="E311" i="14" s="1"/>
  <c r="J288" i="14"/>
  <c r="J102" i="14"/>
  <c r="J256" i="14" s="1"/>
  <c r="F310" i="13"/>
  <c r="F295" i="13"/>
  <c r="F320" i="13"/>
  <c r="F294" i="13"/>
  <c r="F293" i="13"/>
  <c r="F283" i="13"/>
  <c r="F279" i="13"/>
  <c r="F334" i="13" s="1"/>
  <c r="F277" i="13"/>
  <c r="F332" i="13" s="1"/>
  <c r="F276" i="13"/>
  <c r="F353" i="13"/>
  <c r="F352" i="13"/>
  <c r="F351" i="13"/>
  <c r="F347" i="13"/>
  <c r="F339" i="13"/>
  <c r="F337" i="13"/>
  <c r="F336" i="13"/>
  <c r="F335" i="13"/>
  <c r="F333" i="13"/>
  <c r="AD305" i="14" l="1"/>
  <c r="AD277" i="14"/>
  <c r="AF30" i="14"/>
  <c r="V277" i="14"/>
  <c r="V305" i="14"/>
  <c r="V129" i="14"/>
  <c r="AD129" i="14" s="1"/>
  <c r="AF129" i="14" s="1"/>
  <c r="V72" i="14"/>
  <c r="AD72" i="14" s="1"/>
  <c r="AF72" i="14" s="1"/>
  <c r="V40" i="14"/>
  <c r="AD40" i="14" s="1"/>
  <c r="AF40" i="14" s="1"/>
  <c r="V225" i="14"/>
  <c r="AD225" i="14" s="1"/>
  <c r="AF225" i="14" s="1"/>
  <c r="V155" i="14"/>
  <c r="AD155" i="14" s="1"/>
  <c r="AF155" i="14" s="1"/>
  <c r="V180" i="14"/>
  <c r="AD180" i="14" s="1"/>
  <c r="AF180" i="14" s="1"/>
  <c r="V255" i="14"/>
  <c r="AD255" i="14" s="1"/>
  <c r="AF255" i="14" s="1"/>
  <c r="P288" i="14"/>
  <c r="P102" i="14"/>
  <c r="AD310" i="14"/>
  <c r="F338" i="13"/>
  <c r="F285" i="13"/>
  <c r="F311" i="13"/>
  <c r="F331" i="13"/>
  <c r="F31" i="13"/>
  <c r="F60" i="13"/>
  <c r="F172" i="13"/>
  <c r="F106" i="13"/>
  <c r="F95" i="13"/>
  <c r="F340" i="13" l="1"/>
  <c r="V288" i="14"/>
  <c r="AD288" i="14"/>
  <c r="V102" i="14"/>
  <c r="AD102" i="14" s="1"/>
  <c r="AF102" i="14" s="1"/>
  <c r="J311" i="14"/>
  <c r="P256" i="14"/>
  <c r="F205" i="13"/>
  <c r="V256" i="14" l="1"/>
  <c r="AD256" i="14" s="1"/>
  <c r="P311" i="14"/>
  <c r="F201" i="13"/>
  <c r="AD311" i="14" l="1"/>
  <c r="AF256" i="14"/>
  <c r="V311" i="14"/>
  <c r="J229" i="13"/>
  <c r="K229" i="13"/>
  <c r="J230" i="13"/>
  <c r="K230" i="13"/>
  <c r="J231" i="13"/>
  <c r="K231" i="13"/>
  <c r="J232" i="13"/>
  <c r="K232" i="13"/>
  <c r="J233" i="13"/>
  <c r="K233" i="13"/>
  <c r="J234" i="13"/>
  <c r="K234" i="13"/>
  <c r="J235" i="13"/>
  <c r="K235" i="13"/>
  <c r="J236" i="13"/>
  <c r="K236" i="13"/>
  <c r="J237" i="13"/>
  <c r="K237" i="13"/>
  <c r="J239" i="13"/>
  <c r="K239" i="13"/>
  <c r="J240" i="13"/>
  <c r="K240" i="13"/>
  <c r="J241" i="13"/>
  <c r="K241" i="13"/>
  <c r="J242" i="13"/>
  <c r="K242" i="13"/>
  <c r="J243" i="13"/>
  <c r="K243" i="13"/>
  <c r="J244" i="13"/>
  <c r="K244" i="13"/>
  <c r="J245" i="13"/>
  <c r="K245" i="13"/>
  <c r="J246" i="13"/>
  <c r="K246" i="13"/>
  <c r="J247" i="13"/>
  <c r="K247" i="13"/>
  <c r="J249" i="13"/>
  <c r="K249" i="13"/>
  <c r="J250" i="13"/>
  <c r="K250" i="13"/>
  <c r="J251" i="13"/>
  <c r="K251" i="13"/>
  <c r="J252" i="13"/>
  <c r="K252" i="13"/>
  <c r="J253" i="13"/>
  <c r="K253" i="13"/>
  <c r="J254" i="13"/>
  <c r="K254" i="13"/>
  <c r="J255" i="13"/>
  <c r="K255" i="13"/>
  <c r="J256" i="13"/>
  <c r="K256" i="13"/>
  <c r="J257" i="13"/>
  <c r="K257" i="13"/>
  <c r="J258" i="13"/>
  <c r="K258" i="13"/>
  <c r="J259" i="13"/>
  <c r="K259" i="13"/>
  <c r="J260" i="13"/>
  <c r="K260" i="13"/>
  <c r="J261" i="13"/>
  <c r="K261" i="13"/>
  <c r="J262" i="13"/>
  <c r="K262" i="13"/>
  <c r="J263" i="13"/>
  <c r="K263" i="13"/>
  <c r="J265" i="13"/>
  <c r="K265" i="13"/>
  <c r="J266" i="13"/>
  <c r="K266" i="13"/>
  <c r="J267" i="13"/>
  <c r="K267" i="13"/>
  <c r="L8" i="13" l="1"/>
  <c r="L111" i="13"/>
  <c r="L133" i="13"/>
  <c r="F25" i="13" l="1"/>
  <c r="F238" i="13" s="1"/>
  <c r="G25" i="13"/>
  <c r="G238" i="13" s="1"/>
  <c r="H25" i="13"/>
  <c r="H238" i="13" s="1"/>
  <c r="I25" i="13"/>
  <c r="I238" i="13" s="1"/>
  <c r="J25" i="13"/>
  <c r="J238" i="13" s="1"/>
  <c r="K25" i="13"/>
  <c r="K238" i="13" s="1"/>
  <c r="J33" i="13"/>
  <c r="K33" i="13"/>
  <c r="J52" i="13"/>
  <c r="K52" i="13"/>
  <c r="J49" i="13"/>
  <c r="K49" i="13"/>
  <c r="J62" i="13"/>
  <c r="K62" i="13"/>
  <c r="J77" i="13"/>
  <c r="K77" i="13"/>
  <c r="J80" i="13"/>
  <c r="K80" i="13"/>
  <c r="J97" i="13"/>
  <c r="K97" i="13"/>
  <c r="J109" i="13"/>
  <c r="K109" i="13"/>
  <c r="J121" i="13"/>
  <c r="K121" i="13"/>
  <c r="J131" i="13"/>
  <c r="K131" i="13"/>
  <c r="J144" i="13"/>
  <c r="K144" i="13"/>
  <c r="J154" i="13"/>
  <c r="K154" i="13"/>
  <c r="J164" i="13"/>
  <c r="K164" i="13"/>
  <c r="J175" i="13"/>
  <c r="K175" i="13"/>
  <c r="J183" i="13"/>
  <c r="K183" i="13"/>
  <c r="J193" i="13"/>
  <c r="K193" i="13"/>
  <c r="J197" i="13"/>
  <c r="K197" i="13"/>
  <c r="J206" i="13"/>
  <c r="K206" i="13"/>
  <c r="J216" i="13"/>
  <c r="K216" i="13"/>
  <c r="F29" i="13"/>
  <c r="F244" i="13" s="1"/>
  <c r="F71" i="13"/>
  <c r="L218" i="13"/>
  <c r="N218" i="13" s="1"/>
  <c r="L217" i="13"/>
  <c r="N217" i="13" s="1"/>
  <c r="L215" i="13"/>
  <c r="N215" i="13" s="1"/>
  <c r="L214" i="13"/>
  <c r="N214" i="13" s="1"/>
  <c r="L213" i="13"/>
  <c r="N213" i="13" s="1"/>
  <c r="L212" i="13"/>
  <c r="N212" i="13" s="1"/>
  <c r="L211" i="13"/>
  <c r="N211" i="13" s="1"/>
  <c r="L210" i="13"/>
  <c r="N210" i="13" s="1"/>
  <c r="L209" i="13"/>
  <c r="N209" i="13" s="1"/>
  <c r="L208" i="13"/>
  <c r="L207" i="13"/>
  <c r="N207" i="13" s="1"/>
  <c r="L204" i="13"/>
  <c r="N204" i="13" s="1"/>
  <c r="L203" i="13"/>
  <c r="N203" i="13" s="1"/>
  <c r="L202" i="13"/>
  <c r="N202" i="13" s="1"/>
  <c r="L200" i="13"/>
  <c r="L198" i="13"/>
  <c r="L196" i="13"/>
  <c r="L195" i="13"/>
  <c r="N195" i="13" s="1"/>
  <c r="L194" i="13"/>
  <c r="L192" i="13"/>
  <c r="L191" i="13"/>
  <c r="N191" i="13" s="1"/>
  <c r="L190" i="13"/>
  <c r="N190" i="13" s="1"/>
  <c r="L189" i="13"/>
  <c r="N189" i="13" s="1"/>
  <c r="L188" i="13"/>
  <c r="N188" i="13" s="1"/>
  <c r="L187" i="13"/>
  <c r="N187" i="13" s="1"/>
  <c r="L186" i="13"/>
  <c r="N186" i="13" s="1"/>
  <c r="L185" i="13"/>
  <c r="L184" i="13"/>
  <c r="L182" i="13"/>
  <c r="N182" i="13" s="1"/>
  <c r="L181" i="13"/>
  <c r="N181" i="13" s="1"/>
  <c r="L179" i="13"/>
  <c r="N179" i="13" s="1"/>
  <c r="L178" i="13"/>
  <c r="N178" i="13" s="1"/>
  <c r="L177" i="13"/>
  <c r="N177" i="13" s="1"/>
  <c r="L176" i="13"/>
  <c r="L174" i="13"/>
  <c r="N174" i="13" s="1"/>
  <c r="L173" i="13"/>
  <c r="N173" i="13" s="1"/>
  <c r="L172" i="13"/>
  <c r="N172" i="13" s="1"/>
  <c r="L171" i="13"/>
  <c r="N171" i="13" s="1"/>
  <c r="L170" i="13"/>
  <c r="L169" i="13"/>
  <c r="N169" i="13" s="1"/>
  <c r="L168" i="13"/>
  <c r="L167" i="13"/>
  <c r="N167" i="13" s="1"/>
  <c r="L166" i="13"/>
  <c r="L165" i="13"/>
  <c r="N165" i="13" s="1"/>
  <c r="L163" i="13"/>
  <c r="N163" i="13" s="1"/>
  <c r="L162" i="13"/>
  <c r="N162" i="13" s="1"/>
  <c r="L161" i="13"/>
  <c r="N161" i="13" s="1"/>
  <c r="L160" i="13"/>
  <c r="N160" i="13" s="1"/>
  <c r="L159" i="13"/>
  <c r="N159" i="13" s="1"/>
  <c r="L158" i="13"/>
  <c r="L156" i="13"/>
  <c r="N156" i="13" s="1"/>
  <c r="L155" i="13"/>
  <c r="N155" i="13" s="1"/>
  <c r="L153" i="13"/>
  <c r="N153" i="13" s="1"/>
  <c r="L152" i="13"/>
  <c r="N152" i="13" s="1"/>
  <c r="L151" i="13"/>
  <c r="N151" i="13" s="1"/>
  <c r="L150" i="13"/>
  <c r="L149" i="13"/>
  <c r="N149" i="13" s="1"/>
  <c r="L148" i="13"/>
  <c r="N148" i="13" s="1"/>
  <c r="L147" i="13"/>
  <c r="N147" i="13" s="1"/>
  <c r="L146" i="13"/>
  <c r="N146" i="13" s="1"/>
  <c r="L145" i="13"/>
  <c r="N145" i="13" s="1"/>
  <c r="L143" i="13"/>
  <c r="N143" i="13" s="1"/>
  <c r="L142" i="13"/>
  <c r="N142" i="13" s="1"/>
  <c r="L141" i="13"/>
  <c r="N141" i="13" s="1"/>
  <c r="L140" i="13"/>
  <c r="L139" i="13"/>
  <c r="N139" i="13" s="1"/>
  <c r="L138" i="13"/>
  <c r="L135" i="13"/>
  <c r="N135" i="13" s="1"/>
  <c r="L134" i="13"/>
  <c r="N133" i="13"/>
  <c r="L132" i="13"/>
  <c r="N132" i="13" s="1"/>
  <c r="L130" i="13"/>
  <c r="N130" i="13" s="1"/>
  <c r="L129" i="13"/>
  <c r="N129" i="13" s="1"/>
  <c r="L128" i="13"/>
  <c r="N128" i="13" s="1"/>
  <c r="L127" i="13"/>
  <c r="N127" i="13" s="1"/>
  <c r="L126" i="13"/>
  <c r="N126" i="13" s="1"/>
  <c r="L125" i="13"/>
  <c r="N125" i="13" s="1"/>
  <c r="L124" i="13"/>
  <c r="N124" i="13" s="1"/>
  <c r="L123" i="13"/>
  <c r="L122" i="13"/>
  <c r="N122" i="13" s="1"/>
  <c r="L120" i="13"/>
  <c r="L119" i="13"/>
  <c r="N119" i="13" s="1"/>
  <c r="L118" i="13"/>
  <c r="N118" i="13" s="1"/>
  <c r="L117" i="13"/>
  <c r="N117" i="13" s="1"/>
  <c r="L116" i="13"/>
  <c r="N116" i="13" s="1"/>
  <c r="L115" i="13"/>
  <c r="L113" i="13"/>
  <c r="N113" i="13" s="1"/>
  <c r="L112" i="13"/>
  <c r="N111" i="13"/>
  <c r="L110" i="13"/>
  <c r="L108" i="13"/>
  <c r="N108" i="13" s="1"/>
  <c r="L107" i="13"/>
  <c r="L106" i="13"/>
  <c r="N106" i="13" s="1"/>
  <c r="L105" i="13"/>
  <c r="L104" i="13"/>
  <c r="N104" i="13" s="1"/>
  <c r="L103" i="13"/>
  <c r="L102" i="13"/>
  <c r="N102" i="13" s="1"/>
  <c r="L101" i="13"/>
  <c r="L100" i="13"/>
  <c r="N100" i="13" s="1"/>
  <c r="L99" i="13"/>
  <c r="L98" i="13"/>
  <c r="N98" i="13" s="1"/>
  <c r="L96" i="13"/>
  <c r="N96" i="13" s="1"/>
  <c r="L95" i="13"/>
  <c r="N95" i="13" s="1"/>
  <c r="L94" i="13"/>
  <c r="N94" i="13" s="1"/>
  <c r="L93" i="13"/>
  <c r="N93" i="13" s="1"/>
  <c r="L92" i="13"/>
  <c r="L91" i="13"/>
  <c r="N91" i="13" s="1"/>
  <c r="L90" i="13"/>
  <c r="L88" i="13"/>
  <c r="N88" i="13" s="1"/>
  <c r="L87" i="13"/>
  <c r="N87" i="13" s="1"/>
  <c r="L86" i="13"/>
  <c r="N86" i="13" s="1"/>
  <c r="L85" i="13"/>
  <c r="N85" i="13" s="1"/>
  <c r="L84" i="13"/>
  <c r="N84" i="13" s="1"/>
  <c r="L83" i="13"/>
  <c r="N83" i="13" s="1"/>
  <c r="L82" i="13"/>
  <c r="N82" i="13" s="1"/>
  <c r="L81" i="13"/>
  <c r="N81" i="13" s="1"/>
  <c r="L79" i="13"/>
  <c r="N79" i="13" s="1"/>
  <c r="L78" i="13"/>
  <c r="L76" i="13"/>
  <c r="N76" i="13" s="1"/>
  <c r="L75" i="13"/>
  <c r="L74" i="13"/>
  <c r="N74" i="13" s="1"/>
  <c r="L73" i="13"/>
  <c r="L72" i="13"/>
  <c r="N72" i="13" s="1"/>
  <c r="L71" i="13"/>
  <c r="N71" i="13" s="1"/>
  <c r="L70" i="13"/>
  <c r="N70" i="13" s="1"/>
  <c r="L69" i="13"/>
  <c r="N69" i="13" s="1"/>
  <c r="L68" i="13"/>
  <c r="N68" i="13" s="1"/>
  <c r="L67" i="13"/>
  <c r="N67" i="13" s="1"/>
  <c r="L66" i="13"/>
  <c r="N66" i="13" s="1"/>
  <c r="L65" i="13"/>
  <c r="N65" i="13" s="1"/>
  <c r="L64" i="13"/>
  <c r="L63" i="13"/>
  <c r="N63" i="13" s="1"/>
  <c r="L61" i="13"/>
  <c r="N61" i="13" s="1"/>
  <c r="L60" i="13"/>
  <c r="N60" i="13" s="1"/>
  <c r="L59" i="13"/>
  <c r="N59" i="13" s="1"/>
  <c r="L58" i="13"/>
  <c r="N58" i="13" s="1"/>
  <c r="L57" i="13"/>
  <c r="N57" i="13" s="1"/>
  <c r="L56" i="13"/>
  <c r="N56" i="13" s="1"/>
  <c r="L55" i="13"/>
  <c r="L241" i="13" s="1"/>
  <c r="L54" i="13"/>
  <c r="L53" i="13"/>
  <c r="L51" i="13"/>
  <c r="N51" i="13" s="1"/>
  <c r="L50" i="13"/>
  <c r="L48" i="13"/>
  <c r="N48" i="13" s="1"/>
  <c r="L47" i="13"/>
  <c r="N47" i="13" s="1"/>
  <c r="L46" i="13"/>
  <c r="L45" i="13"/>
  <c r="L44" i="13"/>
  <c r="N44" i="13" s="1"/>
  <c r="L43" i="13"/>
  <c r="L42" i="13"/>
  <c r="L257" i="13" s="1"/>
  <c r="L41" i="13"/>
  <c r="N41" i="13" s="1"/>
  <c r="L40" i="13"/>
  <c r="L39" i="13"/>
  <c r="L38" i="13"/>
  <c r="L37" i="13"/>
  <c r="L36" i="13"/>
  <c r="N36" i="13" s="1"/>
  <c r="L35" i="13"/>
  <c r="L34" i="13"/>
  <c r="N34" i="13" s="1"/>
  <c r="L32" i="13"/>
  <c r="N32" i="13" s="1"/>
  <c r="L31" i="13"/>
  <c r="L30" i="13"/>
  <c r="N30" i="13" s="1"/>
  <c r="L28" i="13"/>
  <c r="N28" i="13" s="1"/>
  <c r="L27" i="13"/>
  <c r="N27" i="13" s="1"/>
  <c r="N31" i="13"/>
  <c r="L6" i="13"/>
  <c r="L7" i="13"/>
  <c r="N7" i="13" s="1"/>
  <c r="L231" i="13"/>
  <c r="L9" i="13"/>
  <c r="L10" i="13"/>
  <c r="L233" i="13" s="1"/>
  <c r="L11" i="13"/>
  <c r="L12" i="13"/>
  <c r="N12" i="13" s="1"/>
  <c r="L13" i="13"/>
  <c r="N13" i="13" s="1"/>
  <c r="L14" i="13"/>
  <c r="L15" i="13"/>
  <c r="N15" i="13" s="1"/>
  <c r="L16" i="13"/>
  <c r="N16" i="13" s="1"/>
  <c r="L17" i="13"/>
  <c r="N17" i="13" s="1"/>
  <c r="L18" i="13"/>
  <c r="N18" i="13" s="1"/>
  <c r="L19" i="13"/>
  <c r="N19" i="13" s="1"/>
  <c r="L20" i="13"/>
  <c r="N20" i="13" s="1"/>
  <c r="L21" i="13"/>
  <c r="N21" i="13" s="1"/>
  <c r="L22" i="13"/>
  <c r="N22" i="13" s="1"/>
  <c r="L23" i="13"/>
  <c r="N23" i="13" s="1"/>
  <c r="L24" i="13"/>
  <c r="L5" i="13"/>
  <c r="L201" i="13"/>
  <c r="N201" i="13" s="1"/>
  <c r="F137" i="13"/>
  <c r="F26" i="13"/>
  <c r="L26" i="13" s="1"/>
  <c r="L205" i="13"/>
  <c r="N205" i="13" s="1"/>
  <c r="E260" i="13"/>
  <c r="E257" i="13"/>
  <c r="E265" i="13"/>
  <c r="E249" i="13"/>
  <c r="E243" i="13"/>
  <c r="E261" i="13"/>
  <c r="E259" i="13"/>
  <c r="E250" i="13"/>
  <c r="E235" i="13"/>
  <c r="E229" i="13"/>
  <c r="M267" i="13"/>
  <c r="I267" i="13"/>
  <c r="H267" i="13"/>
  <c r="G267" i="13"/>
  <c r="F267" i="13"/>
  <c r="D267" i="13"/>
  <c r="M266" i="13"/>
  <c r="I266" i="13"/>
  <c r="H266" i="13"/>
  <c r="G266" i="13"/>
  <c r="F266" i="13"/>
  <c r="E266" i="13"/>
  <c r="D266" i="13"/>
  <c r="M265" i="13"/>
  <c r="I265" i="13"/>
  <c r="H265" i="13"/>
  <c r="G265" i="13"/>
  <c r="F265" i="13"/>
  <c r="D265" i="13"/>
  <c r="M263" i="13"/>
  <c r="I263" i="13"/>
  <c r="H263" i="13"/>
  <c r="G263" i="13"/>
  <c r="F263" i="13"/>
  <c r="D263" i="13"/>
  <c r="M262" i="13"/>
  <c r="I262" i="13"/>
  <c r="H262" i="13"/>
  <c r="G262" i="13"/>
  <c r="F262" i="13"/>
  <c r="D262" i="13"/>
  <c r="M261" i="13"/>
  <c r="I261" i="13"/>
  <c r="H261" i="13"/>
  <c r="G261" i="13"/>
  <c r="F261" i="13"/>
  <c r="D261" i="13"/>
  <c r="M260" i="13"/>
  <c r="I260" i="13"/>
  <c r="H260" i="13"/>
  <c r="G260" i="13"/>
  <c r="F260" i="13"/>
  <c r="D260" i="13"/>
  <c r="M259" i="13"/>
  <c r="I259" i="13"/>
  <c r="H259" i="13"/>
  <c r="G259" i="13"/>
  <c r="F259" i="13"/>
  <c r="D259" i="13"/>
  <c r="M258" i="13"/>
  <c r="I258" i="13"/>
  <c r="H258" i="13"/>
  <c r="G258" i="13"/>
  <c r="D258" i="13"/>
  <c r="M257" i="13"/>
  <c r="I257" i="13"/>
  <c r="H257" i="13"/>
  <c r="G257" i="13"/>
  <c r="F257" i="13"/>
  <c r="D257" i="13"/>
  <c r="M256" i="13"/>
  <c r="I256" i="13"/>
  <c r="H256" i="13"/>
  <c r="G256" i="13"/>
  <c r="F256" i="13"/>
  <c r="D256" i="13"/>
  <c r="M255" i="13"/>
  <c r="I255" i="13"/>
  <c r="H255" i="13"/>
  <c r="G255" i="13"/>
  <c r="F255" i="13"/>
  <c r="D255" i="13"/>
  <c r="M254" i="13"/>
  <c r="I254" i="13"/>
  <c r="H254" i="13"/>
  <c r="G254" i="13"/>
  <c r="F254" i="13"/>
  <c r="D254" i="13"/>
  <c r="M253" i="13"/>
  <c r="I253" i="13"/>
  <c r="H253" i="13"/>
  <c r="G253" i="13"/>
  <c r="F253" i="13"/>
  <c r="D253" i="13"/>
  <c r="M252" i="13"/>
  <c r="I252" i="13"/>
  <c r="H252" i="13"/>
  <c r="G252" i="13"/>
  <c r="F252" i="13"/>
  <c r="D252" i="13"/>
  <c r="M251" i="13"/>
  <c r="I251" i="13"/>
  <c r="H251" i="13"/>
  <c r="G251" i="13"/>
  <c r="F251" i="13"/>
  <c r="E251" i="13"/>
  <c r="D251" i="13"/>
  <c r="M250" i="13"/>
  <c r="I250" i="13"/>
  <c r="H250" i="13"/>
  <c r="G250" i="13"/>
  <c r="F250" i="13"/>
  <c r="D250" i="13"/>
  <c r="M249" i="13"/>
  <c r="I249" i="13"/>
  <c r="H249" i="13"/>
  <c r="G249" i="13"/>
  <c r="F249" i="13"/>
  <c r="D249" i="13"/>
  <c r="M247" i="13"/>
  <c r="I247" i="13"/>
  <c r="H247" i="13"/>
  <c r="G247" i="13"/>
  <c r="F247" i="13"/>
  <c r="D247" i="13"/>
  <c r="M246" i="13"/>
  <c r="I246" i="13"/>
  <c r="H246" i="13"/>
  <c r="G246" i="13"/>
  <c r="F246" i="13"/>
  <c r="D246" i="13"/>
  <c r="M245" i="13"/>
  <c r="I245" i="13"/>
  <c r="H245" i="13"/>
  <c r="G245" i="13"/>
  <c r="F245" i="13"/>
  <c r="D245" i="13"/>
  <c r="M244" i="13"/>
  <c r="I244" i="13"/>
  <c r="H244" i="13"/>
  <c r="G244" i="13"/>
  <c r="D244" i="13"/>
  <c r="M243" i="13"/>
  <c r="I243" i="13"/>
  <c r="H243" i="13"/>
  <c r="G243" i="13"/>
  <c r="F243" i="13"/>
  <c r="D243" i="13"/>
  <c r="M242" i="13"/>
  <c r="I242" i="13"/>
  <c r="H242" i="13"/>
  <c r="G242" i="13"/>
  <c r="D242" i="13"/>
  <c r="M241" i="13"/>
  <c r="I241" i="13"/>
  <c r="H241" i="13"/>
  <c r="G241" i="13"/>
  <c r="F241" i="13"/>
  <c r="E241" i="13"/>
  <c r="D241" i="13"/>
  <c r="M240" i="13"/>
  <c r="I240" i="13"/>
  <c r="H240" i="13"/>
  <c r="G240" i="13"/>
  <c r="F240" i="13"/>
  <c r="D240" i="13"/>
  <c r="M239" i="13"/>
  <c r="I239" i="13"/>
  <c r="H239" i="13"/>
  <c r="G239" i="13"/>
  <c r="D239" i="13"/>
  <c r="M237" i="13"/>
  <c r="I237" i="13"/>
  <c r="H237" i="13"/>
  <c r="G237" i="13"/>
  <c r="F237" i="13"/>
  <c r="E237" i="13"/>
  <c r="D237" i="13"/>
  <c r="M236" i="13"/>
  <c r="I236" i="13"/>
  <c r="H236" i="13"/>
  <c r="G236" i="13"/>
  <c r="F236" i="13"/>
  <c r="E236" i="13"/>
  <c r="D236" i="13"/>
  <c r="M235" i="13"/>
  <c r="I235" i="13"/>
  <c r="H235" i="13"/>
  <c r="G235" i="13"/>
  <c r="F235" i="13"/>
  <c r="D235" i="13"/>
  <c r="M234" i="13"/>
  <c r="I234" i="13"/>
  <c r="H234" i="13"/>
  <c r="G234" i="13"/>
  <c r="F234" i="13"/>
  <c r="E234" i="13"/>
  <c r="D234" i="13"/>
  <c r="M233" i="13"/>
  <c r="I233" i="13"/>
  <c r="H233" i="13"/>
  <c r="G233" i="13"/>
  <c r="F233" i="13"/>
  <c r="E233" i="13"/>
  <c r="D233" i="13"/>
  <c r="M232" i="13"/>
  <c r="I232" i="13"/>
  <c r="H232" i="13"/>
  <c r="G232" i="13"/>
  <c r="F232" i="13"/>
  <c r="E232" i="13"/>
  <c r="D232" i="13"/>
  <c r="M231" i="13"/>
  <c r="I231" i="13"/>
  <c r="H231" i="13"/>
  <c r="G231" i="13"/>
  <c r="F231" i="13"/>
  <c r="E231" i="13"/>
  <c r="D231" i="13"/>
  <c r="M230" i="13"/>
  <c r="I230" i="13"/>
  <c r="H230" i="13"/>
  <c r="G230" i="13"/>
  <c r="F230" i="13"/>
  <c r="E230" i="13"/>
  <c r="D230" i="13"/>
  <c r="M229" i="13"/>
  <c r="I229" i="13"/>
  <c r="H229" i="13"/>
  <c r="G229" i="13"/>
  <c r="F229" i="13"/>
  <c r="D229" i="13"/>
  <c r="M216" i="13"/>
  <c r="I216" i="13"/>
  <c r="H216" i="13"/>
  <c r="G216" i="13"/>
  <c r="F216" i="13"/>
  <c r="D216" i="13"/>
  <c r="M206" i="13"/>
  <c r="I206" i="13"/>
  <c r="H206" i="13"/>
  <c r="G206" i="13"/>
  <c r="D206" i="13"/>
  <c r="M197" i="13"/>
  <c r="I197" i="13"/>
  <c r="H197" i="13"/>
  <c r="G197" i="13"/>
  <c r="F197" i="13"/>
  <c r="D197" i="13"/>
  <c r="M193" i="13"/>
  <c r="I193" i="13"/>
  <c r="H193" i="13"/>
  <c r="G193" i="13"/>
  <c r="F193" i="13"/>
  <c r="D193" i="13"/>
  <c r="M183" i="13"/>
  <c r="I183" i="13"/>
  <c r="H183" i="13"/>
  <c r="G183" i="13"/>
  <c r="F183" i="13"/>
  <c r="D183" i="13"/>
  <c r="M175" i="13"/>
  <c r="I175" i="13"/>
  <c r="H175" i="13"/>
  <c r="G175" i="13"/>
  <c r="F175" i="13"/>
  <c r="D175" i="13"/>
  <c r="M164" i="13"/>
  <c r="I164" i="13"/>
  <c r="H164" i="13"/>
  <c r="G164" i="13"/>
  <c r="F164" i="13"/>
  <c r="D164" i="13"/>
  <c r="M154" i="13"/>
  <c r="I154" i="13"/>
  <c r="H154" i="13"/>
  <c r="G154" i="13"/>
  <c r="F154" i="13"/>
  <c r="D154" i="13"/>
  <c r="M144" i="13"/>
  <c r="I144" i="13"/>
  <c r="H144" i="13"/>
  <c r="G144" i="13"/>
  <c r="D144" i="13"/>
  <c r="M131" i="13"/>
  <c r="I131" i="13"/>
  <c r="H131" i="13"/>
  <c r="G131" i="13"/>
  <c r="F131" i="13"/>
  <c r="D131" i="13"/>
  <c r="M121" i="13"/>
  <c r="I121" i="13"/>
  <c r="H121" i="13"/>
  <c r="G121" i="13"/>
  <c r="F121" i="13"/>
  <c r="D121" i="13"/>
  <c r="M109" i="13"/>
  <c r="I109" i="13"/>
  <c r="H109" i="13"/>
  <c r="G109" i="13"/>
  <c r="F109" i="13"/>
  <c r="D109" i="13"/>
  <c r="M97" i="13"/>
  <c r="I97" i="13"/>
  <c r="H97" i="13"/>
  <c r="G97" i="13"/>
  <c r="F97" i="13"/>
  <c r="D97" i="13"/>
  <c r="M80" i="13"/>
  <c r="I80" i="13"/>
  <c r="H80" i="13"/>
  <c r="G80" i="13"/>
  <c r="F80" i="13"/>
  <c r="D80" i="13"/>
  <c r="M77" i="13"/>
  <c r="I77" i="13"/>
  <c r="H77" i="13"/>
  <c r="G77" i="13"/>
  <c r="D77" i="13"/>
  <c r="M62" i="13"/>
  <c r="I62" i="13"/>
  <c r="H62" i="13"/>
  <c r="G62" i="13"/>
  <c r="F62" i="13"/>
  <c r="D62" i="13"/>
  <c r="M52" i="13"/>
  <c r="I52" i="13"/>
  <c r="H52" i="13"/>
  <c r="G52" i="13"/>
  <c r="F52" i="13"/>
  <c r="D52" i="13"/>
  <c r="M49" i="13"/>
  <c r="I49" i="13"/>
  <c r="H49" i="13"/>
  <c r="G49" i="13"/>
  <c r="F49" i="13"/>
  <c r="D49" i="13"/>
  <c r="M33" i="13"/>
  <c r="I33" i="13"/>
  <c r="H33" i="13"/>
  <c r="G33" i="13"/>
  <c r="D33" i="13"/>
  <c r="M25" i="13"/>
  <c r="M238" i="13" s="1"/>
  <c r="E25" i="13"/>
  <c r="E238" i="13" s="1"/>
  <c r="D25" i="13"/>
  <c r="D238" i="13" s="1"/>
  <c r="J89" i="13" l="1"/>
  <c r="K180" i="13"/>
  <c r="K136" i="13"/>
  <c r="K114" i="13"/>
  <c r="L137" i="13"/>
  <c r="L144" i="13" s="1"/>
  <c r="F319" i="13"/>
  <c r="F258" i="13"/>
  <c r="F321" i="13"/>
  <c r="F350" i="13" s="1"/>
  <c r="F77" i="13"/>
  <c r="F264" i="13" s="1"/>
  <c r="F144" i="13"/>
  <c r="F157" i="13" s="1"/>
  <c r="J268" i="13"/>
  <c r="K268" i="13"/>
  <c r="J199" i="13"/>
  <c r="F136" i="13"/>
  <c r="M136" i="13"/>
  <c r="J180" i="13"/>
  <c r="J136" i="13"/>
  <c r="J114" i="13"/>
  <c r="K199" i="13"/>
  <c r="K89" i="13"/>
  <c r="K248" i="13"/>
  <c r="K157" i="13"/>
  <c r="K219" i="13"/>
  <c r="K264" i="13"/>
  <c r="J219" i="13"/>
  <c r="J264" i="13"/>
  <c r="F33" i="13"/>
  <c r="D114" i="13"/>
  <c r="F239" i="13"/>
  <c r="J248" i="13"/>
  <c r="J157" i="13"/>
  <c r="L29" i="13"/>
  <c r="N29" i="13" s="1"/>
  <c r="H114" i="13"/>
  <c r="H136" i="13"/>
  <c r="D157" i="13"/>
  <c r="G157" i="13"/>
  <c r="I157" i="13"/>
  <c r="D180" i="13"/>
  <c r="G180" i="13"/>
  <c r="I180" i="13"/>
  <c r="F206" i="13"/>
  <c r="F242" i="13"/>
  <c r="D89" i="13"/>
  <c r="G89" i="13"/>
  <c r="H264" i="13"/>
  <c r="D268" i="13"/>
  <c r="D136" i="13"/>
  <c r="G136" i="13"/>
  <c r="I136" i="13"/>
  <c r="D248" i="13"/>
  <c r="F199" i="13"/>
  <c r="H199" i="13"/>
  <c r="M199" i="13"/>
  <c r="H219" i="13"/>
  <c r="H89" i="13"/>
  <c r="F268" i="13"/>
  <c r="H268" i="13"/>
  <c r="G114" i="13"/>
  <c r="I114" i="13"/>
  <c r="H157" i="13"/>
  <c r="H180" i="13"/>
  <c r="G199" i="13"/>
  <c r="D264" i="13"/>
  <c r="I199" i="13"/>
  <c r="F219" i="13"/>
  <c r="I89" i="13"/>
  <c r="M180" i="13"/>
  <c r="M89" i="13"/>
  <c r="E245" i="13"/>
  <c r="E255" i="13"/>
  <c r="F180" i="13"/>
  <c r="M157" i="13"/>
  <c r="F114" i="13"/>
  <c r="M114" i="13"/>
  <c r="M268" i="13"/>
  <c r="L52" i="13"/>
  <c r="L164" i="13"/>
  <c r="N158" i="13"/>
  <c r="N164" i="13" s="1"/>
  <c r="E240" i="13"/>
  <c r="L240" i="13"/>
  <c r="N64" i="13"/>
  <c r="E239" i="13"/>
  <c r="E247" i="13"/>
  <c r="N120" i="13"/>
  <c r="E242" i="13"/>
  <c r="N138" i="13"/>
  <c r="E244" i="13"/>
  <c r="N140" i="13"/>
  <c r="E258" i="13"/>
  <c r="N150" i="13"/>
  <c r="N154" i="13" s="1"/>
  <c r="E246" i="13"/>
  <c r="N176" i="13"/>
  <c r="E263" i="13"/>
  <c r="N50" i="13"/>
  <c r="N52" i="13" s="1"/>
  <c r="L80" i="13"/>
  <c r="N78" i="13"/>
  <c r="N80" i="13" s="1"/>
  <c r="N92" i="13"/>
  <c r="N184" i="13"/>
  <c r="N192" i="13"/>
  <c r="N198" i="13"/>
  <c r="E254" i="13"/>
  <c r="L261" i="13"/>
  <c r="E264" i="13"/>
  <c r="N166" i="13"/>
  <c r="E252" i="13"/>
  <c r="N168" i="13"/>
  <c r="E256" i="13"/>
  <c r="N170" i="13"/>
  <c r="E267" i="13"/>
  <c r="N196" i="13"/>
  <c r="E253" i="13"/>
  <c r="E262" i="13"/>
  <c r="N134" i="13"/>
  <c r="E248" i="13"/>
  <c r="L131" i="13"/>
  <c r="N123" i="13"/>
  <c r="N131" i="13" s="1"/>
  <c r="N110" i="13"/>
  <c r="N112" i="13"/>
  <c r="N101" i="13"/>
  <c r="N103" i="13"/>
  <c r="N105" i="13"/>
  <c r="N107" i="13"/>
  <c r="N90" i="13"/>
  <c r="L255" i="13"/>
  <c r="L253" i="13"/>
  <c r="N73" i="13"/>
  <c r="N75" i="13"/>
  <c r="L62" i="13"/>
  <c r="N53" i="13"/>
  <c r="N54" i="13"/>
  <c r="N55" i="13"/>
  <c r="N38" i="13"/>
  <c r="N40" i="13"/>
  <c r="N42" i="13"/>
  <c r="N46" i="13"/>
  <c r="N37" i="13"/>
  <c r="N39" i="13"/>
  <c r="N43" i="13"/>
  <c r="N45" i="13"/>
  <c r="N26" i="13"/>
  <c r="L247" i="13"/>
  <c r="L230" i="13"/>
  <c r="L232" i="13"/>
  <c r="L237" i="13"/>
  <c r="L229" i="13"/>
  <c r="L235" i="13"/>
  <c r="N185" i="13"/>
  <c r="D199" i="13"/>
  <c r="L206" i="13"/>
  <c r="N200" i="13"/>
  <c r="N206" i="13" s="1"/>
  <c r="G248" i="13"/>
  <c r="G219" i="13"/>
  <c r="I248" i="13"/>
  <c r="I219" i="13"/>
  <c r="M264" i="13"/>
  <c r="H248" i="13"/>
  <c r="L249" i="13"/>
  <c r="L251" i="13"/>
  <c r="L259" i="13"/>
  <c r="N5" i="13"/>
  <c r="N6" i="13"/>
  <c r="N8" i="13"/>
  <c r="N9" i="13"/>
  <c r="N10" i="13"/>
  <c r="N11" i="13"/>
  <c r="N14" i="13"/>
  <c r="N24" i="13"/>
  <c r="N183" i="13"/>
  <c r="G268" i="13"/>
  <c r="I268" i="13"/>
  <c r="M248" i="13"/>
  <c r="M219" i="13"/>
  <c r="L216" i="13"/>
  <c r="N208" i="13"/>
  <c r="N216" i="13" s="1"/>
  <c r="G264" i="13"/>
  <c r="I264" i="13"/>
  <c r="D219" i="13"/>
  <c r="L234" i="13"/>
  <c r="L242" i="13"/>
  <c r="L245" i="13"/>
  <c r="L265" i="13"/>
  <c r="L266" i="13"/>
  <c r="L183" i="13"/>
  <c r="K236" i="12"/>
  <c r="N137" i="13" l="1"/>
  <c r="F89" i="13"/>
  <c r="F220" i="13" s="1"/>
  <c r="F269" i="13" s="1"/>
  <c r="F348" i="13"/>
  <c r="F325" i="13"/>
  <c r="K220" i="13"/>
  <c r="K269" i="13" s="1"/>
  <c r="F248" i="13"/>
  <c r="N33" i="13"/>
  <c r="L33" i="13"/>
  <c r="L244" i="13"/>
  <c r="J220" i="13"/>
  <c r="J269" i="13" s="1"/>
  <c r="I220" i="13"/>
  <c r="I269" i="13" s="1"/>
  <c r="G220" i="13"/>
  <c r="G269" i="13" s="1"/>
  <c r="D220" i="13"/>
  <c r="D269" i="13" s="1"/>
  <c r="H220" i="13"/>
  <c r="H269" i="13" s="1"/>
  <c r="N144" i="13"/>
  <c r="N157" i="13" s="1"/>
  <c r="L25" i="13"/>
  <c r="L238" i="13" s="1"/>
  <c r="M220" i="13"/>
  <c r="M269" i="13" s="1"/>
  <c r="N193" i="13"/>
  <c r="L175" i="13"/>
  <c r="L180" i="13" s="1"/>
  <c r="L256" i="13"/>
  <c r="L252" i="13"/>
  <c r="L246" i="13"/>
  <c r="L197" i="13"/>
  <c r="L268" i="13" s="1"/>
  <c r="L243" i="13"/>
  <c r="L263" i="13"/>
  <c r="N194" i="13"/>
  <c r="N197" i="13" s="1"/>
  <c r="L193" i="13"/>
  <c r="N97" i="13"/>
  <c r="N175" i="13"/>
  <c r="N180" i="13" s="1"/>
  <c r="L97" i="13"/>
  <c r="L154" i="13"/>
  <c r="L157" i="13" s="1"/>
  <c r="L239" i="13"/>
  <c r="E220" i="13"/>
  <c r="E269" i="13" s="1"/>
  <c r="L267" i="13"/>
  <c r="E268" i="13"/>
  <c r="L121" i="13"/>
  <c r="L136" i="13" s="1"/>
  <c r="N115" i="13"/>
  <c r="N121" i="13" s="1"/>
  <c r="N136" i="13" s="1"/>
  <c r="L109" i="13"/>
  <c r="L114" i="13" s="1"/>
  <c r="N99" i="13"/>
  <c r="N109" i="13" s="1"/>
  <c r="L254" i="13"/>
  <c r="L260" i="13"/>
  <c r="N77" i="13"/>
  <c r="L77" i="13"/>
  <c r="L262" i="13"/>
  <c r="N62" i="13"/>
  <c r="L258" i="13"/>
  <c r="L250" i="13"/>
  <c r="L49" i="13"/>
  <c r="N35" i="13"/>
  <c r="N49" i="13" s="1"/>
  <c r="L236" i="13"/>
  <c r="N219" i="13"/>
  <c r="N25" i="13"/>
  <c r="L219" i="13"/>
  <c r="D247" i="12"/>
  <c r="E247" i="12"/>
  <c r="F247" i="12"/>
  <c r="G247" i="12"/>
  <c r="H247" i="12"/>
  <c r="I247" i="12"/>
  <c r="K247" i="12"/>
  <c r="E232" i="12"/>
  <c r="F232" i="12"/>
  <c r="G232" i="12"/>
  <c r="H232" i="12"/>
  <c r="I232" i="12"/>
  <c r="K232" i="12"/>
  <c r="D232" i="12"/>
  <c r="F349" i="13" l="1"/>
  <c r="F299" i="13"/>
  <c r="F354" i="13"/>
  <c r="L199" i="13"/>
  <c r="L248" i="13"/>
  <c r="N114" i="13"/>
  <c r="N199" i="13"/>
  <c r="L264" i="13"/>
  <c r="N89" i="13"/>
  <c r="L89" i="13"/>
  <c r="J7" i="12"/>
  <c r="L7" i="12" s="1"/>
  <c r="E219" i="12"/>
  <c r="J217" i="12"/>
  <c r="L217" i="12" s="1"/>
  <c r="E263" i="12"/>
  <c r="J211" i="12"/>
  <c r="L211" i="12" s="1"/>
  <c r="J209" i="12"/>
  <c r="L209" i="12" s="1"/>
  <c r="E249" i="12"/>
  <c r="J205" i="12"/>
  <c r="J203" i="12"/>
  <c r="J201" i="12"/>
  <c r="J181" i="12"/>
  <c r="L181" i="12" s="1"/>
  <c r="J179" i="12"/>
  <c r="L179" i="12" s="1"/>
  <c r="J177" i="12"/>
  <c r="L177" i="12" s="1"/>
  <c r="J173" i="12"/>
  <c r="L173" i="12" s="1"/>
  <c r="J171" i="12"/>
  <c r="L171" i="12" s="1"/>
  <c r="J169" i="12"/>
  <c r="L169" i="12" s="1"/>
  <c r="J167" i="12"/>
  <c r="L167" i="12" s="1"/>
  <c r="J165" i="12"/>
  <c r="L165" i="12" s="1"/>
  <c r="J153" i="12"/>
  <c r="L153" i="12" s="1"/>
  <c r="J147" i="12"/>
  <c r="L147" i="12" s="1"/>
  <c r="J145" i="12"/>
  <c r="L145" i="12" s="1"/>
  <c r="J135" i="12"/>
  <c r="L135" i="12" s="1"/>
  <c r="J133" i="12"/>
  <c r="L133" i="12" s="1"/>
  <c r="J119" i="12"/>
  <c r="L119" i="12" s="1"/>
  <c r="J117" i="12"/>
  <c r="L117" i="12" s="1"/>
  <c r="J115" i="12"/>
  <c r="J107" i="12"/>
  <c r="L107" i="12" s="1"/>
  <c r="J105" i="12"/>
  <c r="L105" i="12" s="1"/>
  <c r="J101" i="12"/>
  <c r="L101" i="12" s="1"/>
  <c r="J99" i="12"/>
  <c r="J87" i="12"/>
  <c r="L87" i="12" s="1"/>
  <c r="J85" i="12"/>
  <c r="L85" i="12" s="1"/>
  <c r="J83" i="12"/>
  <c r="L83" i="12" s="1"/>
  <c r="J81" i="12"/>
  <c r="L81" i="12" s="1"/>
  <c r="J79" i="12"/>
  <c r="L79" i="12" s="1"/>
  <c r="J75" i="12"/>
  <c r="J73" i="12"/>
  <c r="L73" i="12" s="1"/>
  <c r="J71" i="12"/>
  <c r="L71" i="12" s="1"/>
  <c r="J69" i="12"/>
  <c r="L69" i="12" s="1"/>
  <c r="E241" i="12"/>
  <c r="J51" i="12"/>
  <c r="L51" i="12" s="1"/>
  <c r="E244" i="12"/>
  <c r="E268" i="12"/>
  <c r="K267" i="12"/>
  <c r="I267" i="12"/>
  <c r="H267" i="12"/>
  <c r="G267" i="12"/>
  <c r="F267" i="12"/>
  <c r="E267" i="12"/>
  <c r="D267" i="12"/>
  <c r="K266" i="12"/>
  <c r="I266" i="12"/>
  <c r="H266" i="12"/>
  <c r="G266" i="12"/>
  <c r="F266" i="12"/>
  <c r="D266" i="12"/>
  <c r="K265" i="12"/>
  <c r="I265" i="12"/>
  <c r="H265" i="12"/>
  <c r="G265" i="12"/>
  <c r="F265" i="12"/>
  <c r="E265" i="12"/>
  <c r="D265" i="12"/>
  <c r="K263" i="12"/>
  <c r="I263" i="12"/>
  <c r="H263" i="12"/>
  <c r="G263" i="12"/>
  <c r="F263" i="12"/>
  <c r="D263" i="12"/>
  <c r="K262" i="12"/>
  <c r="I262" i="12"/>
  <c r="H262" i="12"/>
  <c r="G262" i="12"/>
  <c r="F262" i="12"/>
  <c r="D262" i="12"/>
  <c r="K261" i="12"/>
  <c r="I261" i="12"/>
  <c r="H261" i="12"/>
  <c r="G261" i="12"/>
  <c r="F261" i="12"/>
  <c r="E261" i="12"/>
  <c r="D261" i="12"/>
  <c r="K260" i="12"/>
  <c r="I260" i="12"/>
  <c r="H260" i="12"/>
  <c r="G260" i="12"/>
  <c r="F260" i="12"/>
  <c r="D260" i="12"/>
  <c r="K259" i="12"/>
  <c r="I259" i="12"/>
  <c r="H259" i="12"/>
  <c r="G259" i="12"/>
  <c r="D259" i="12"/>
  <c r="K258" i="12"/>
  <c r="I258" i="12"/>
  <c r="H258" i="12"/>
  <c r="G258" i="12"/>
  <c r="D258" i="12"/>
  <c r="K257" i="12"/>
  <c r="I257" i="12"/>
  <c r="H257" i="12"/>
  <c r="G257" i="12"/>
  <c r="F257" i="12"/>
  <c r="E257" i="12"/>
  <c r="D257" i="12"/>
  <c r="K256" i="12"/>
  <c r="I256" i="12"/>
  <c r="H256" i="12"/>
  <c r="G256" i="12"/>
  <c r="F256" i="12"/>
  <c r="D256" i="12"/>
  <c r="K255" i="12"/>
  <c r="I255" i="12"/>
  <c r="H255" i="12"/>
  <c r="G255" i="12"/>
  <c r="F255" i="12"/>
  <c r="E255" i="12"/>
  <c r="D255" i="12"/>
  <c r="K254" i="12"/>
  <c r="I254" i="12"/>
  <c r="H254" i="12"/>
  <c r="G254" i="12"/>
  <c r="F254" i="12"/>
  <c r="D254" i="12"/>
  <c r="K253" i="12"/>
  <c r="I253" i="12"/>
  <c r="H253" i="12"/>
  <c r="G253" i="12"/>
  <c r="F253" i="12"/>
  <c r="D253" i="12"/>
  <c r="K252" i="12"/>
  <c r="I252" i="12"/>
  <c r="H252" i="12"/>
  <c r="G252" i="12"/>
  <c r="F252" i="12"/>
  <c r="D252" i="12"/>
  <c r="K251" i="12"/>
  <c r="I251" i="12"/>
  <c r="H251" i="12"/>
  <c r="G251" i="12"/>
  <c r="F251" i="12"/>
  <c r="E251" i="12"/>
  <c r="D251" i="12"/>
  <c r="K250" i="12"/>
  <c r="I250" i="12"/>
  <c r="H250" i="12"/>
  <c r="G250" i="12"/>
  <c r="F250" i="12"/>
  <c r="D250" i="12"/>
  <c r="K249" i="12"/>
  <c r="I249" i="12"/>
  <c r="H249" i="12"/>
  <c r="G249" i="12"/>
  <c r="F249" i="12"/>
  <c r="D249" i="12"/>
  <c r="K246" i="12"/>
  <c r="I246" i="12"/>
  <c r="H246" i="12"/>
  <c r="G246" i="12"/>
  <c r="F246" i="12"/>
  <c r="E246" i="12"/>
  <c r="D246" i="12"/>
  <c r="K245" i="12"/>
  <c r="I245" i="12"/>
  <c r="H245" i="12"/>
  <c r="G245" i="12"/>
  <c r="F245" i="12"/>
  <c r="D245" i="12"/>
  <c r="K244" i="12"/>
  <c r="I244" i="12"/>
  <c r="H244" i="12"/>
  <c r="G244" i="12"/>
  <c r="F244" i="12"/>
  <c r="D244" i="12"/>
  <c r="K243" i="12"/>
  <c r="I243" i="12"/>
  <c r="H243" i="12"/>
  <c r="G243" i="12"/>
  <c r="F243" i="12"/>
  <c r="D243" i="12"/>
  <c r="K242" i="12"/>
  <c r="I242" i="12"/>
  <c r="H242" i="12"/>
  <c r="G242" i="12"/>
  <c r="F242" i="12"/>
  <c r="E242" i="12"/>
  <c r="D242" i="12"/>
  <c r="K241" i="12"/>
  <c r="I241" i="12"/>
  <c r="H241" i="12"/>
  <c r="G241" i="12"/>
  <c r="F241" i="12"/>
  <c r="D241" i="12"/>
  <c r="K240" i="12"/>
  <c r="I240" i="12"/>
  <c r="H240" i="12"/>
  <c r="G240" i="12"/>
  <c r="F240" i="12"/>
  <c r="E240" i="12"/>
  <c r="D240" i="12"/>
  <c r="K239" i="12"/>
  <c r="H239" i="12"/>
  <c r="G239" i="12"/>
  <c r="F239" i="12"/>
  <c r="D239" i="12"/>
  <c r="K237" i="12"/>
  <c r="I237" i="12"/>
  <c r="H237" i="12"/>
  <c r="G237" i="12"/>
  <c r="F237" i="12"/>
  <c r="E237" i="12"/>
  <c r="D237" i="12"/>
  <c r="I236" i="12"/>
  <c r="H236" i="12"/>
  <c r="G236" i="12"/>
  <c r="F236" i="12"/>
  <c r="E236" i="12"/>
  <c r="D236" i="12"/>
  <c r="K235" i="12"/>
  <c r="I235" i="12"/>
  <c r="H235" i="12"/>
  <c r="G235" i="12"/>
  <c r="F235" i="12"/>
  <c r="E235" i="12"/>
  <c r="D235" i="12"/>
  <c r="K234" i="12"/>
  <c r="I234" i="12"/>
  <c r="H234" i="12"/>
  <c r="G234" i="12"/>
  <c r="F234" i="12"/>
  <c r="E234" i="12"/>
  <c r="D234" i="12"/>
  <c r="K233" i="12"/>
  <c r="I233" i="12"/>
  <c r="H233" i="12"/>
  <c r="G233" i="12"/>
  <c r="F233" i="12"/>
  <c r="E233" i="12"/>
  <c r="D233" i="12"/>
  <c r="K231" i="12"/>
  <c r="I231" i="12"/>
  <c r="H231" i="12"/>
  <c r="G231" i="12"/>
  <c r="F231" i="12"/>
  <c r="E231" i="12"/>
  <c r="D231" i="12"/>
  <c r="K230" i="12"/>
  <c r="I230" i="12"/>
  <c r="H230" i="12"/>
  <c r="G230" i="12"/>
  <c r="F230" i="12"/>
  <c r="E230" i="12"/>
  <c r="D230" i="12"/>
  <c r="K229" i="12"/>
  <c r="I229" i="12"/>
  <c r="H229" i="12"/>
  <c r="G229" i="12"/>
  <c r="F229" i="12"/>
  <c r="E229" i="12"/>
  <c r="D229" i="12"/>
  <c r="J218" i="12"/>
  <c r="L218" i="12" s="1"/>
  <c r="K216" i="12"/>
  <c r="I216" i="12"/>
  <c r="H216" i="12"/>
  <c r="G216" i="12"/>
  <c r="F216" i="12"/>
  <c r="D216" i="12"/>
  <c r="J214" i="12"/>
  <c r="J212" i="12"/>
  <c r="L212" i="12" s="1"/>
  <c r="J210" i="12"/>
  <c r="J208" i="12"/>
  <c r="L208" i="12" s="1"/>
  <c r="K206" i="12"/>
  <c r="I206" i="12"/>
  <c r="H206" i="12"/>
  <c r="G206" i="12"/>
  <c r="F206" i="12"/>
  <c r="D206" i="12"/>
  <c r="J204" i="12"/>
  <c r="J202" i="12"/>
  <c r="J200" i="12"/>
  <c r="J198" i="12"/>
  <c r="K197" i="12"/>
  <c r="I197" i="12"/>
  <c r="H197" i="12"/>
  <c r="G197" i="12"/>
  <c r="F197" i="12"/>
  <c r="D197" i="12"/>
  <c r="J196" i="12"/>
  <c r="J194" i="12"/>
  <c r="K193" i="12"/>
  <c r="I193" i="12"/>
  <c r="H193" i="12"/>
  <c r="G193" i="12"/>
  <c r="F193" i="12"/>
  <c r="D193" i="12"/>
  <c r="J192" i="12"/>
  <c r="L192" i="12" s="1"/>
  <c r="J191" i="12"/>
  <c r="L191" i="12" s="1"/>
  <c r="J190" i="12"/>
  <c r="L190" i="12" s="1"/>
  <c r="J189" i="12"/>
  <c r="L189" i="12" s="1"/>
  <c r="J188" i="12"/>
  <c r="J187" i="12"/>
  <c r="J186" i="12"/>
  <c r="J185" i="12"/>
  <c r="J184" i="12"/>
  <c r="L184" i="12" s="1"/>
  <c r="K183" i="12"/>
  <c r="I183" i="12"/>
  <c r="H183" i="12"/>
  <c r="G183" i="12"/>
  <c r="F183" i="12"/>
  <c r="D183" i="12"/>
  <c r="J182" i="12"/>
  <c r="L182" i="12" s="1"/>
  <c r="J178" i="12"/>
  <c r="L178" i="12" s="1"/>
  <c r="J176" i="12"/>
  <c r="L176" i="12" s="1"/>
  <c r="K175" i="12"/>
  <c r="I175" i="12"/>
  <c r="H175" i="12"/>
  <c r="G175" i="12"/>
  <c r="F175" i="12"/>
  <c r="D175" i="12"/>
  <c r="J174" i="12"/>
  <c r="L174" i="12" s="1"/>
  <c r="J172" i="12"/>
  <c r="L172" i="12" s="1"/>
  <c r="J170" i="12"/>
  <c r="L170" i="12" s="1"/>
  <c r="J168" i="12"/>
  <c r="L168" i="12" s="1"/>
  <c r="J166" i="12"/>
  <c r="K164" i="12"/>
  <c r="I164" i="12"/>
  <c r="H164" i="12"/>
  <c r="G164" i="12"/>
  <c r="F164" i="12"/>
  <c r="D164" i="12"/>
  <c r="J163" i="12"/>
  <c r="J162" i="12"/>
  <c r="L162" i="12" s="1"/>
  <c r="J161" i="12"/>
  <c r="L161" i="12" s="1"/>
  <c r="J160" i="12"/>
  <c r="L160" i="12" s="1"/>
  <c r="J159" i="12"/>
  <c r="L159" i="12" s="1"/>
  <c r="J158" i="12"/>
  <c r="J156" i="12"/>
  <c r="L156" i="12" s="1"/>
  <c r="J155" i="12"/>
  <c r="L155" i="12" s="1"/>
  <c r="K154" i="12"/>
  <c r="I154" i="12"/>
  <c r="H154" i="12"/>
  <c r="G154" i="12"/>
  <c r="F154" i="12"/>
  <c r="D154" i="12"/>
  <c r="J152" i="12"/>
  <c r="L152" i="12" s="1"/>
  <c r="J150" i="12"/>
  <c r="L150" i="12" s="1"/>
  <c r="J148" i="12"/>
  <c r="L148" i="12" s="1"/>
  <c r="J146" i="12"/>
  <c r="K144" i="12"/>
  <c r="K157" i="12" s="1"/>
  <c r="I144" i="12"/>
  <c r="H144" i="12"/>
  <c r="G144" i="12"/>
  <c r="F144" i="12"/>
  <c r="F157" i="12" s="1"/>
  <c r="D144" i="12"/>
  <c r="J143" i="12"/>
  <c r="L143" i="12" s="1"/>
  <c r="J142" i="12"/>
  <c r="L142" i="12" s="1"/>
  <c r="J141" i="12"/>
  <c r="L141" i="12" s="1"/>
  <c r="J140" i="12"/>
  <c r="L140" i="12" s="1"/>
  <c r="J139" i="12"/>
  <c r="L139" i="12" s="1"/>
  <c r="J138" i="12"/>
  <c r="L138" i="12" s="1"/>
  <c r="J137" i="12"/>
  <c r="J134" i="12"/>
  <c r="L134" i="12" s="1"/>
  <c r="J132" i="12"/>
  <c r="L132" i="12" s="1"/>
  <c r="K131" i="12"/>
  <c r="I131" i="12"/>
  <c r="H131" i="12"/>
  <c r="G131" i="12"/>
  <c r="F131" i="12"/>
  <c r="D131" i="12"/>
  <c r="J130" i="12"/>
  <c r="L130" i="12" s="1"/>
  <c r="J129" i="12"/>
  <c r="L129" i="12" s="1"/>
  <c r="J128" i="12"/>
  <c r="L128" i="12" s="1"/>
  <c r="J127" i="12"/>
  <c r="L127" i="12" s="1"/>
  <c r="J126" i="12"/>
  <c r="L126" i="12" s="1"/>
  <c r="J125" i="12"/>
  <c r="L125" i="12" s="1"/>
  <c r="J124" i="12"/>
  <c r="L124" i="12" s="1"/>
  <c r="J123" i="12"/>
  <c r="J122" i="12"/>
  <c r="L122" i="12" s="1"/>
  <c r="K121" i="12"/>
  <c r="I121" i="12"/>
  <c r="H121" i="12"/>
  <c r="G121" i="12"/>
  <c r="F121" i="12"/>
  <c r="D121" i="12"/>
  <c r="J120" i="12"/>
  <c r="L120" i="12" s="1"/>
  <c r="J118" i="12"/>
  <c r="L118" i="12" s="1"/>
  <c r="J116" i="12"/>
  <c r="L116" i="12" s="1"/>
  <c r="J113" i="12"/>
  <c r="L113" i="12" s="1"/>
  <c r="J112" i="12"/>
  <c r="L112" i="12" s="1"/>
  <c r="J111" i="12"/>
  <c r="L111" i="12" s="1"/>
  <c r="J110" i="12"/>
  <c r="L110" i="12" s="1"/>
  <c r="K109" i="12"/>
  <c r="I109" i="12"/>
  <c r="H109" i="12"/>
  <c r="G109" i="12"/>
  <c r="F109" i="12"/>
  <c r="D109" i="12"/>
  <c r="J108" i="12"/>
  <c r="L108" i="12" s="1"/>
  <c r="J106" i="12"/>
  <c r="L106" i="12" s="1"/>
  <c r="J104" i="12"/>
  <c r="L104" i="12" s="1"/>
  <c r="J102" i="12"/>
  <c r="L102" i="12" s="1"/>
  <c r="J100" i="12"/>
  <c r="L100" i="12" s="1"/>
  <c r="J98" i="12"/>
  <c r="L98" i="12" s="1"/>
  <c r="K97" i="12"/>
  <c r="I97" i="12"/>
  <c r="H97" i="12"/>
  <c r="H114" i="12" s="1"/>
  <c r="G97" i="12"/>
  <c r="F97" i="12"/>
  <c r="D97" i="12"/>
  <c r="J96" i="12"/>
  <c r="L96" i="12" s="1"/>
  <c r="J95" i="12"/>
  <c r="L95" i="12" s="1"/>
  <c r="J94" i="12"/>
  <c r="L94" i="12" s="1"/>
  <c r="J93" i="12"/>
  <c r="L93" i="12" s="1"/>
  <c r="J92" i="12"/>
  <c r="L92" i="12" s="1"/>
  <c r="J91" i="12"/>
  <c r="L91" i="12" s="1"/>
  <c r="J90" i="12"/>
  <c r="J88" i="12"/>
  <c r="L88" i="12" s="1"/>
  <c r="J86" i="12"/>
  <c r="L86" i="12" s="1"/>
  <c r="J84" i="12"/>
  <c r="L84" i="12" s="1"/>
  <c r="J82" i="12"/>
  <c r="L82" i="12" s="1"/>
  <c r="K80" i="12"/>
  <c r="I80" i="12"/>
  <c r="H80" i="12"/>
  <c r="G80" i="12"/>
  <c r="F80" i="12"/>
  <c r="D80" i="12"/>
  <c r="J78" i="12"/>
  <c r="K77" i="12"/>
  <c r="I77" i="12"/>
  <c r="H77" i="12"/>
  <c r="G77" i="12"/>
  <c r="D77" i="12"/>
  <c r="J76" i="12"/>
  <c r="L76" i="12" s="1"/>
  <c r="L75" i="12"/>
  <c r="J74" i="12"/>
  <c r="L74" i="12" s="1"/>
  <c r="F258" i="12"/>
  <c r="J70" i="12"/>
  <c r="L70" i="12" s="1"/>
  <c r="J68" i="12"/>
  <c r="L68" i="12" s="1"/>
  <c r="J67" i="12"/>
  <c r="L67" i="12" s="1"/>
  <c r="J66" i="12"/>
  <c r="L66" i="12" s="1"/>
  <c r="J65" i="12"/>
  <c r="L65" i="12" s="1"/>
  <c r="J64" i="12"/>
  <c r="L64" i="12" s="1"/>
  <c r="J63" i="12"/>
  <c r="L63" i="12" s="1"/>
  <c r="K62" i="12"/>
  <c r="H62" i="12"/>
  <c r="G62" i="12"/>
  <c r="F62" i="12"/>
  <c r="D62" i="12"/>
  <c r="J61" i="12"/>
  <c r="L61" i="12" s="1"/>
  <c r="J60" i="12"/>
  <c r="L60" i="12" s="1"/>
  <c r="J59" i="12"/>
  <c r="L59" i="12" s="1"/>
  <c r="J58" i="12"/>
  <c r="L58" i="12" s="1"/>
  <c r="J57" i="12"/>
  <c r="L57" i="12" s="1"/>
  <c r="J56" i="12"/>
  <c r="L56" i="12" s="1"/>
  <c r="J55" i="12"/>
  <c r="J241" i="12" s="1"/>
  <c r="J54" i="12"/>
  <c r="J240" i="12" s="1"/>
  <c r="K52" i="12"/>
  <c r="I52" i="12"/>
  <c r="H52" i="12"/>
  <c r="G52" i="12"/>
  <c r="F52" i="12"/>
  <c r="D52" i="12"/>
  <c r="J50" i="12"/>
  <c r="K49" i="12"/>
  <c r="I49" i="12"/>
  <c r="H49" i="12"/>
  <c r="G49" i="12"/>
  <c r="F49" i="12"/>
  <c r="D49" i="12"/>
  <c r="J48" i="12"/>
  <c r="L48" i="12" s="1"/>
  <c r="J47" i="12"/>
  <c r="L47" i="12" s="1"/>
  <c r="J46" i="12"/>
  <c r="J45" i="12"/>
  <c r="L45" i="12" s="1"/>
  <c r="J44" i="12"/>
  <c r="L44" i="12" s="1"/>
  <c r="J43" i="12"/>
  <c r="L43" i="12" s="1"/>
  <c r="J42" i="12"/>
  <c r="J41" i="12"/>
  <c r="L41" i="12" s="1"/>
  <c r="J40" i="12"/>
  <c r="L40" i="12" s="1"/>
  <c r="J39" i="12"/>
  <c r="L39" i="12" s="1"/>
  <c r="J38" i="12"/>
  <c r="L38" i="12" s="1"/>
  <c r="J37" i="12"/>
  <c r="L37" i="12" s="1"/>
  <c r="J36" i="12"/>
  <c r="L36" i="12" s="1"/>
  <c r="J35" i="12"/>
  <c r="J34" i="12"/>
  <c r="L34" i="12" s="1"/>
  <c r="K33" i="12"/>
  <c r="I33" i="12"/>
  <c r="H33" i="12"/>
  <c r="G33" i="12"/>
  <c r="F33" i="12"/>
  <c r="D33" i="12"/>
  <c r="J32" i="12"/>
  <c r="L32" i="12" s="1"/>
  <c r="J31" i="12"/>
  <c r="L31" i="12" s="1"/>
  <c r="J30" i="12"/>
  <c r="L30" i="12" s="1"/>
  <c r="J29" i="12"/>
  <c r="L29" i="12" s="1"/>
  <c r="J28" i="12"/>
  <c r="L28" i="12" s="1"/>
  <c r="J27" i="12"/>
  <c r="L27" i="12" s="1"/>
  <c r="J26" i="12"/>
  <c r="K25" i="12"/>
  <c r="K238" i="12" s="1"/>
  <c r="H25" i="12"/>
  <c r="H238" i="12" s="1"/>
  <c r="G25" i="12"/>
  <c r="G238" i="12" s="1"/>
  <c r="F25" i="12"/>
  <c r="F238" i="12" s="1"/>
  <c r="E25" i="12"/>
  <c r="E238" i="12" s="1"/>
  <c r="D25" i="12"/>
  <c r="D238" i="12" s="1"/>
  <c r="J24" i="12"/>
  <c r="J23" i="12"/>
  <c r="L23" i="12" s="1"/>
  <c r="J22" i="12"/>
  <c r="L22" i="12" s="1"/>
  <c r="J21" i="12"/>
  <c r="L21" i="12" s="1"/>
  <c r="J20" i="12"/>
  <c r="L20" i="12" s="1"/>
  <c r="J19" i="12"/>
  <c r="L19" i="12" s="1"/>
  <c r="J18" i="12"/>
  <c r="L18" i="12" s="1"/>
  <c r="J17" i="12"/>
  <c r="L17" i="12" s="1"/>
  <c r="J16" i="12"/>
  <c r="L16" i="12" s="1"/>
  <c r="J15" i="12"/>
  <c r="L15" i="12" s="1"/>
  <c r="J14" i="12"/>
  <c r="J13" i="12"/>
  <c r="L13" i="12" s="1"/>
  <c r="J12" i="12"/>
  <c r="L12" i="12" s="1"/>
  <c r="J11" i="12"/>
  <c r="J10" i="12"/>
  <c r="J9" i="12"/>
  <c r="J8" i="12"/>
  <c r="J6" i="12"/>
  <c r="J5" i="12"/>
  <c r="I25" i="12"/>
  <c r="I238" i="12" s="1"/>
  <c r="J232" i="12" l="1"/>
  <c r="K219" i="12"/>
  <c r="L220" i="13"/>
  <c r="L269" i="13" s="1"/>
  <c r="H157" i="12"/>
  <c r="G219" i="12"/>
  <c r="N220" i="13"/>
  <c r="F136" i="12"/>
  <c r="H136" i="12"/>
  <c r="G136" i="12"/>
  <c r="F180" i="12"/>
  <c r="H180" i="12"/>
  <c r="K180" i="12"/>
  <c r="K268" i="12"/>
  <c r="F199" i="12"/>
  <c r="H199" i="12"/>
  <c r="F114" i="12"/>
  <c r="L163" i="12"/>
  <c r="J247" i="12"/>
  <c r="D180" i="12"/>
  <c r="G180" i="12"/>
  <c r="I180" i="12"/>
  <c r="D268" i="12"/>
  <c r="G268" i="12"/>
  <c r="I268" i="12"/>
  <c r="D114" i="12"/>
  <c r="D157" i="12"/>
  <c r="I264" i="12"/>
  <c r="D89" i="12"/>
  <c r="G89" i="12"/>
  <c r="D136" i="12"/>
  <c r="I136" i="12"/>
  <c r="J175" i="12"/>
  <c r="D199" i="12"/>
  <c r="G199" i="12"/>
  <c r="I199" i="12"/>
  <c r="K114" i="12"/>
  <c r="K136" i="12"/>
  <c r="K89" i="12"/>
  <c r="J33" i="12"/>
  <c r="L54" i="12"/>
  <c r="L55" i="12"/>
  <c r="L166" i="12"/>
  <c r="L175" i="12" s="1"/>
  <c r="J121" i="12"/>
  <c r="J80" i="12"/>
  <c r="L78" i="12"/>
  <c r="L80" i="12" s="1"/>
  <c r="J131" i="12"/>
  <c r="L123" i="12"/>
  <c r="L131" i="12" s="1"/>
  <c r="J164" i="12"/>
  <c r="J180" i="12" s="1"/>
  <c r="L158" i="12"/>
  <c r="L164" i="12" s="1"/>
  <c r="E250" i="12"/>
  <c r="E252" i="12"/>
  <c r="E264" i="12"/>
  <c r="E256" i="12"/>
  <c r="J149" i="12"/>
  <c r="L149" i="12" s="1"/>
  <c r="E259" i="12"/>
  <c r="J151" i="12"/>
  <c r="L151" i="12" s="1"/>
  <c r="E260" i="12"/>
  <c r="L26" i="12"/>
  <c r="L33" i="12" s="1"/>
  <c r="E248" i="12"/>
  <c r="L115" i="12"/>
  <c r="L121" i="12" s="1"/>
  <c r="J207" i="12"/>
  <c r="J249" i="12" s="1"/>
  <c r="J213" i="12"/>
  <c r="L213" i="12" s="1"/>
  <c r="J215" i="12"/>
  <c r="J263" i="12" s="1"/>
  <c r="E239" i="12"/>
  <c r="E253" i="12"/>
  <c r="E254" i="12"/>
  <c r="J103" i="12"/>
  <c r="L103" i="12" s="1"/>
  <c r="E220" i="12"/>
  <c r="E269" i="12" s="1"/>
  <c r="E243" i="12"/>
  <c r="E245" i="12"/>
  <c r="L183" i="12"/>
  <c r="E258" i="12"/>
  <c r="E262" i="12"/>
  <c r="E266" i="12"/>
  <c r="J195" i="12"/>
  <c r="L195" i="12" s="1"/>
  <c r="J229" i="12"/>
  <c r="L5" i="12"/>
  <c r="J231" i="12"/>
  <c r="L8" i="12"/>
  <c r="J233" i="12"/>
  <c r="L10" i="12"/>
  <c r="J236" i="12"/>
  <c r="J234" i="12"/>
  <c r="L14" i="12"/>
  <c r="J237" i="12"/>
  <c r="L24" i="12"/>
  <c r="J25" i="12"/>
  <c r="J238" i="12" s="1"/>
  <c r="J257" i="12"/>
  <c r="L42" i="12"/>
  <c r="J261" i="12"/>
  <c r="L46" i="12"/>
  <c r="F259" i="12"/>
  <c r="J72" i="12"/>
  <c r="L72" i="12" s="1"/>
  <c r="L77" i="12" s="1"/>
  <c r="J97" i="12"/>
  <c r="L90" i="12"/>
  <c r="L97" i="12" s="1"/>
  <c r="L99" i="12"/>
  <c r="J144" i="12"/>
  <c r="L137" i="12"/>
  <c r="L144" i="12" s="1"/>
  <c r="L146" i="12"/>
  <c r="J255" i="12"/>
  <c r="L186" i="12"/>
  <c r="L188" i="12"/>
  <c r="K264" i="12"/>
  <c r="J265" i="12"/>
  <c r="L198" i="12"/>
  <c r="J206" i="12"/>
  <c r="L200" i="12"/>
  <c r="J243" i="12"/>
  <c r="L202" i="12"/>
  <c r="J245" i="12"/>
  <c r="L204" i="12"/>
  <c r="D248" i="12"/>
  <c r="D219" i="12"/>
  <c r="J260" i="12"/>
  <c r="G248" i="12"/>
  <c r="J230" i="12"/>
  <c r="L6" i="12"/>
  <c r="L9" i="12"/>
  <c r="J235" i="12"/>
  <c r="L11" i="12"/>
  <c r="H89" i="12"/>
  <c r="J49" i="12"/>
  <c r="L35" i="12"/>
  <c r="J52" i="12"/>
  <c r="L50" i="12"/>
  <c r="L52" i="12" s="1"/>
  <c r="I239" i="12"/>
  <c r="I62" i="12"/>
  <c r="I89" i="12" s="1"/>
  <c r="J53" i="12"/>
  <c r="F77" i="12"/>
  <c r="F89" i="12" s="1"/>
  <c r="G114" i="12"/>
  <c r="I114" i="12"/>
  <c r="G157" i="12"/>
  <c r="I157" i="12"/>
  <c r="J183" i="12"/>
  <c r="K199" i="12"/>
  <c r="J251" i="12"/>
  <c r="J193" i="12"/>
  <c r="L185" i="12"/>
  <c r="J258" i="12"/>
  <c r="L187" i="12"/>
  <c r="G264" i="12"/>
  <c r="L194" i="12"/>
  <c r="J267" i="12"/>
  <c r="L196" i="12"/>
  <c r="I219" i="12"/>
  <c r="K248" i="12"/>
  <c r="J250" i="12"/>
  <c r="J252" i="12"/>
  <c r="F268" i="12"/>
  <c r="H268" i="12"/>
  <c r="J242" i="12"/>
  <c r="L201" i="12"/>
  <c r="J244" i="12"/>
  <c r="L203" i="12"/>
  <c r="J246" i="12"/>
  <c r="L205" i="12"/>
  <c r="F248" i="12"/>
  <c r="H248" i="12"/>
  <c r="J253" i="12"/>
  <c r="L210" i="12"/>
  <c r="J262" i="12"/>
  <c r="L214" i="12"/>
  <c r="D264" i="12"/>
  <c r="H264" i="12"/>
  <c r="F219" i="12"/>
  <c r="H219" i="12"/>
  <c r="L245" i="11"/>
  <c r="F44" i="11"/>
  <c r="F43" i="11"/>
  <c r="F11" i="11"/>
  <c r="F13" i="11"/>
  <c r="F308" i="11" l="1"/>
  <c r="J197" i="12"/>
  <c r="L207" i="12"/>
  <c r="J254" i="12"/>
  <c r="J109" i="12"/>
  <c r="J114" i="12" s="1"/>
  <c r="F264" i="12"/>
  <c r="D220" i="12"/>
  <c r="D269" i="12" s="1"/>
  <c r="G220" i="12"/>
  <c r="G269" i="12" s="1"/>
  <c r="J77" i="12"/>
  <c r="L154" i="12"/>
  <c r="I220" i="12"/>
  <c r="I269" i="12" s="1"/>
  <c r="K220" i="12"/>
  <c r="K269" i="12" s="1"/>
  <c r="I248" i="12"/>
  <c r="J256" i="12"/>
  <c r="J266" i="12"/>
  <c r="J154" i="12"/>
  <c r="J157" i="12" s="1"/>
  <c r="L180" i="12"/>
  <c r="J216" i="12"/>
  <c r="L215" i="12"/>
  <c r="L216" i="12" s="1"/>
  <c r="L136" i="12"/>
  <c r="J136" i="12"/>
  <c r="L197" i="12"/>
  <c r="J62" i="12"/>
  <c r="J248" i="12" s="1"/>
  <c r="L53" i="12"/>
  <c r="L62" i="12" s="1"/>
  <c r="F220" i="12"/>
  <c r="F269" i="12" s="1"/>
  <c r="J219" i="12"/>
  <c r="J268" i="12"/>
  <c r="L193" i="12"/>
  <c r="J199" i="12"/>
  <c r="L49" i="12"/>
  <c r="H220" i="12"/>
  <c r="H269" i="12" s="1"/>
  <c r="J239" i="12"/>
  <c r="L206" i="12"/>
  <c r="J259" i="12"/>
  <c r="L157" i="12"/>
  <c r="L109" i="12"/>
  <c r="L114" i="12" s="1"/>
  <c r="L25" i="12"/>
  <c r="F103" i="11"/>
  <c r="F101" i="11"/>
  <c r="F100" i="11"/>
  <c r="F99" i="11"/>
  <c r="F98" i="11"/>
  <c r="F147" i="11"/>
  <c r="F146" i="11"/>
  <c r="J264" i="12" l="1"/>
  <c r="L219" i="12"/>
  <c r="L89" i="12"/>
  <c r="L199" i="12"/>
  <c r="J89" i="12"/>
  <c r="F162" i="11"/>
  <c r="F157" i="11"/>
  <c r="F142" i="11"/>
  <c r="F136" i="11"/>
  <c r="F119" i="11"/>
  <c r="F114" i="11"/>
  <c r="F95" i="11"/>
  <c r="F89" i="11"/>
  <c r="J220" i="12" l="1"/>
  <c r="J269" i="12" s="1"/>
  <c r="L220" i="12"/>
  <c r="F275" i="11"/>
  <c r="H228" i="11"/>
  <c r="H229" i="11"/>
  <c r="H230" i="11"/>
  <c r="H231" i="11"/>
  <c r="H232" i="11"/>
  <c r="H233" i="11"/>
  <c r="H234" i="11"/>
  <c r="H235" i="11"/>
  <c r="H236" i="11"/>
  <c r="H238" i="11"/>
  <c r="H239" i="11"/>
  <c r="H240" i="11"/>
  <c r="H241" i="11"/>
  <c r="H242" i="11"/>
  <c r="H243" i="11"/>
  <c r="H244" i="11"/>
  <c r="H246" i="11"/>
  <c r="H249" i="11"/>
  <c r="H250" i="11"/>
  <c r="H251" i="11"/>
  <c r="H252" i="11"/>
  <c r="H253" i="11"/>
  <c r="H254" i="11"/>
  <c r="H255" i="11"/>
  <c r="H256" i="11"/>
  <c r="H257" i="11"/>
  <c r="H258" i="11"/>
  <c r="H259" i="11"/>
  <c r="H260" i="11"/>
  <c r="H261" i="11"/>
  <c r="H262" i="11"/>
  <c r="H264" i="11"/>
  <c r="H265" i="11"/>
  <c r="H266" i="11"/>
  <c r="H215" i="11"/>
  <c r="H205" i="11"/>
  <c r="H196" i="11"/>
  <c r="H192" i="11"/>
  <c r="H182" i="11"/>
  <c r="H174" i="11"/>
  <c r="H163" i="11"/>
  <c r="H153" i="11"/>
  <c r="H143" i="11"/>
  <c r="H132" i="11"/>
  <c r="H248" i="11" s="1"/>
  <c r="H131" i="11"/>
  <c r="H245" i="11" s="1"/>
  <c r="H130" i="11"/>
  <c r="H120" i="11"/>
  <c r="H108" i="11"/>
  <c r="H96" i="11"/>
  <c r="H24" i="11"/>
  <c r="H237" i="11" s="1"/>
  <c r="H32" i="11"/>
  <c r="H51" i="11"/>
  <c r="H48" i="11"/>
  <c r="H61" i="11"/>
  <c r="H76" i="11"/>
  <c r="H79" i="11"/>
  <c r="I7" i="11"/>
  <c r="H263" i="11" l="1"/>
  <c r="H113" i="11"/>
  <c r="H156" i="11"/>
  <c r="H179" i="11"/>
  <c r="H267" i="11"/>
  <c r="H218" i="11"/>
  <c r="H135" i="11"/>
  <c r="H198" i="11"/>
  <c r="H247" i="11"/>
  <c r="H88" i="11"/>
  <c r="F59" i="11"/>
  <c r="F52" i="11"/>
  <c r="F30" i="11"/>
  <c r="F25" i="11"/>
  <c r="H219" i="11" l="1"/>
  <c r="H268" i="11" s="1"/>
  <c r="F72" i="11"/>
  <c r="F214" i="11" l="1"/>
  <c r="F213" i="11"/>
  <c r="F212" i="11"/>
  <c r="F210" i="11"/>
  <c r="F209" i="11"/>
  <c r="F207" i="11"/>
  <c r="F351" i="11" l="1"/>
  <c r="F349" i="11"/>
  <c r="F345" i="11"/>
  <c r="F337" i="11"/>
  <c r="F335" i="11"/>
  <c r="F334" i="11"/>
  <c r="F333" i="11"/>
  <c r="F332" i="11"/>
  <c r="F350" i="11"/>
  <c r="F336" i="11"/>
  <c r="F330" i="11"/>
  <c r="F309" i="11" l="1"/>
  <c r="F102" i="11"/>
  <c r="F161" i="11"/>
  <c r="F118" i="11"/>
  <c r="F74" i="11"/>
  <c r="F317" i="11" l="1"/>
  <c r="F172" i="11"/>
  <c r="F167" i="11"/>
  <c r="F64" i="11"/>
  <c r="F274" i="11"/>
  <c r="J217" i="11"/>
  <c r="F217" i="11"/>
  <c r="J208" i="11"/>
  <c r="J209" i="11"/>
  <c r="J210" i="11"/>
  <c r="J211" i="11"/>
  <c r="J212" i="11"/>
  <c r="J213" i="11"/>
  <c r="J214" i="11"/>
  <c r="F208" i="11"/>
  <c r="F211" i="11"/>
  <c r="J200" i="11"/>
  <c r="J201" i="11"/>
  <c r="J202" i="11"/>
  <c r="J203" i="11"/>
  <c r="J204" i="11"/>
  <c r="F200" i="11"/>
  <c r="F201" i="11"/>
  <c r="F202" i="11"/>
  <c r="F203" i="11"/>
  <c r="F204" i="11"/>
  <c r="J194" i="11"/>
  <c r="J195" i="11"/>
  <c r="F194" i="11"/>
  <c r="F195" i="11"/>
  <c r="J185" i="11"/>
  <c r="J186" i="11"/>
  <c r="J187" i="11"/>
  <c r="J188" i="11"/>
  <c r="J189" i="11"/>
  <c r="J190" i="11"/>
  <c r="J191" i="11"/>
  <c r="F185" i="11"/>
  <c r="F186" i="11"/>
  <c r="F187" i="11"/>
  <c r="F188" i="11"/>
  <c r="F189" i="11"/>
  <c r="F190" i="11"/>
  <c r="F191" i="11"/>
  <c r="J181" i="11"/>
  <c r="F181" i="11"/>
  <c r="J176" i="11"/>
  <c r="J177" i="11"/>
  <c r="J178" i="11"/>
  <c r="F176" i="11"/>
  <c r="F177" i="11"/>
  <c r="F178" i="11"/>
  <c r="J166" i="11"/>
  <c r="J167" i="11"/>
  <c r="J168" i="11"/>
  <c r="J169" i="11"/>
  <c r="J170" i="11"/>
  <c r="J171" i="11"/>
  <c r="J172" i="11"/>
  <c r="J173" i="11"/>
  <c r="F166" i="11"/>
  <c r="F168" i="11"/>
  <c r="F169" i="11"/>
  <c r="F170" i="11"/>
  <c r="F171" i="11"/>
  <c r="F173" i="11"/>
  <c r="J158" i="11"/>
  <c r="J159" i="11"/>
  <c r="J160" i="11"/>
  <c r="J161" i="11"/>
  <c r="J162" i="11"/>
  <c r="F158" i="11"/>
  <c r="F159" i="11"/>
  <c r="F160" i="11"/>
  <c r="J155" i="11"/>
  <c r="F155" i="11"/>
  <c r="J146" i="11"/>
  <c r="J147" i="11"/>
  <c r="J148" i="11"/>
  <c r="J149" i="11"/>
  <c r="J150" i="11"/>
  <c r="J151" i="11"/>
  <c r="J152" i="11"/>
  <c r="F148" i="11"/>
  <c r="F149" i="11"/>
  <c r="F150" i="11"/>
  <c r="F151" i="11"/>
  <c r="F152" i="11"/>
  <c r="J137" i="11"/>
  <c r="J138" i="11"/>
  <c r="J139" i="11"/>
  <c r="J140" i="11"/>
  <c r="J141" i="11"/>
  <c r="J142" i="11"/>
  <c r="F137" i="11"/>
  <c r="F138" i="11"/>
  <c r="F139" i="11"/>
  <c r="F140" i="11"/>
  <c r="F141" i="11"/>
  <c r="J132" i="11"/>
  <c r="J133" i="11"/>
  <c r="J134" i="11"/>
  <c r="F132" i="11"/>
  <c r="F133" i="11"/>
  <c r="F134" i="11"/>
  <c r="J123" i="11"/>
  <c r="J124" i="11"/>
  <c r="J125" i="11"/>
  <c r="J126" i="11"/>
  <c r="J127" i="11"/>
  <c r="J128" i="11"/>
  <c r="J129" i="11"/>
  <c r="F123" i="11"/>
  <c r="F124" i="11"/>
  <c r="F125" i="11"/>
  <c r="F126" i="11"/>
  <c r="F127" i="11"/>
  <c r="F128" i="11"/>
  <c r="F129" i="11"/>
  <c r="J115" i="11"/>
  <c r="J116" i="11"/>
  <c r="J117" i="11"/>
  <c r="J118" i="11"/>
  <c r="J119" i="11"/>
  <c r="F115" i="11"/>
  <c r="F116" i="11"/>
  <c r="F117" i="11"/>
  <c r="J110" i="11"/>
  <c r="J111" i="11"/>
  <c r="J112" i="11"/>
  <c r="F110" i="11"/>
  <c r="F111" i="11"/>
  <c r="F112" i="11"/>
  <c r="J99" i="11"/>
  <c r="J100" i="11"/>
  <c r="J101" i="11"/>
  <c r="J102" i="11"/>
  <c r="J103" i="11"/>
  <c r="J104" i="11"/>
  <c r="J105" i="11"/>
  <c r="J106" i="11"/>
  <c r="J107" i="11"/>
  <c r="F104" i="11"/>
  <c r="F105" i="11"/>
  <c r="F106" i="11"/>
  <c r="F107" i="11"/>
  <c r="J90" i="11"/>
  <c r="J91" i="11"/>
  <c r="J92" i="11"/>
  <c r="J93" i="11"/>
  <c r="J94" i="11"/>
  <c r="J95" i="11"/>
  <c r="F90" i="11"/>
  <c r="F91" i="11"/>
  <c r="F92" i="11"/>
  <c r="F93" i="11"/>
  <c r="F94" i="11"/>
  <c r="J81" i="11"/>
  <c r="J82" i="11"/>
  <c r="J83" i="11"/>
  <c r="J84" i="11"/>
  <c r="J85" i="11"/>
  <c r="J86" i="11"/>
  <c r="J87" i="11"/>
  <c r="F81" i="11"/>
  <c r="F82" i="11"/>
  <c r="F83" i="11"/>
  <c r="F84" i="11"/>
  <c r="F85" i="11"/>
  <c r="F86" i="11"/>
  <c r="F87" i="11"/>
  <c r="J78" i="11"/>
  <c r="F78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F65" i="11"/>
  <c r="F66" i="11"/>
  <c r="F67" i="11"/>
  <c r="F68" i="11"/>
  <c r="F69" i="11"/>
  <c r="F73" i="11"/>
  <c r="F75" i="11"/>
  <c r="F53" i="11"/>
  <c r="J53" i="11"/>
  <c r="F54" i="11"/>
  <c r="J54" i="11"/>
  <c r="F55" i="11"/>
  <c r="J55" i="11"/>
  <c r="F56" i="11"/>
  <c r="J56" i="11"/>
  <c r="F57" i="11"/>
  <c r="J57" i="11"/>
  <c r="F58" i="11"/>
  <c r="J58" i="11"/>
  <c r="J59" i="11"/>
  <c r="F60" i="11"/>
  <c r="J60" i="11"/>
  <c r="J206" i="11"/>
  <c r="F206" i="11"/>
  <c r="J183" i="11"/>
  <c r="F183" i="11"/>
  <c r="J164" i="11"/>
  <c r="F164" i="11"/>
  <c r="J144" i="11"/>
  <c r="F144" i="11"/>
  <c r="J121" i="11"/>
  <c r="F121" i="11"/>
  <c r="J97" i="11"/>
  <c r="F97" i="11"/>
  <c r="J62" i="11"/>
  <c r="F62" i="11"/>
  <c r="J216" i="11"/>
  <c r="F216" i="11"/>
  <c r="J207" i="11"/>
  <c r="J199" i="11"/>
  <c r="F199" i="11"/>
  <c r="J197" i="11"/>
  <c r="F197" i="11"/>
  <c r="J193" i="11"/>
  <c r="F193" i="11"/>
  <c r="J184" i="11"/>
  <c r="F184" i="11"/>
  <c r="J180" i="11"/>
  <c r="F180" i="11"/>
  <c r="J175" i="11"/>
  <c r="F175" i="11"/>
  <c r="K175" i="11" s="1"/>
  <c r="J165" i="11"/>
  <c r="F165" i="11"/>
  <c r="J157" i="11"/>
  <c r="J154" i="11"/>
  <c r="F154" i="11"/>
  <c r="J145" i="11"/>
  <c r="F145" i="11"/>
  <c r="J136" i="11"/>
  <c r="J131" i="11"/>
  <c r="F131" i="11"/>
  <c r="J122" i="11"/>
  <c r="F122" i="11"/>
  <c r="J114" i="11"/>
  <c r="J109" i="11"/>
  <c r="F109" i="11"/>
  <c r="J98" i="11"/>
  <c r="J89" i="11"/>
  <c r="J80" i="11"/>
  <c r="F80" i="11"/>
  <c r="J77" i="11"/>
  <c r="F77" i="11"/>
  <c r="J63" i="11"/>
  <c r="F63" i="11"/>
  <c r="J50" i="11"/>
  <c r="F50" i="11"/>
  <c r="J49" i="11"/>
  <c r="F49" i="11"/>
  <c r="F34" i="11"/>
  <c r="J34" i="11"/>
  <c r="F35" i="11"/>
  <c r="J35" i="11"/>
  <c r="F36" i="11"/>
  <c r="J36" i="11"/>
  <c r="F37" i="11"/>
  <c r="J37" i="11"/>
  <c r="F38" i="11"/>
  <c r="J38" i="11"/>
  <c r="F39" i="11"/>
  <c r="J39" i="11"/>
  <c r="F40" i="11"/>
  <c r="J40" i="11"/>
  <c r="F41" i="11"/>
  <c r="J41" i="11"/>
  <c r="F42" i="11"/>
  <c r="J42" i="11"/>
  <c r="J43" i="11"/>
  <c r="J44" i="11"/>
  <c r="F45" i="11"/>
  <c r="J45" i="11"/>
  <c r="F46" i="11"/>
  <c r="J46" i="11"/>
  <c r="F47" i="11"/>
  <c r="J47" i="11"/>
  <c r="J33" i="11"/>
  <c r="F33" i="11"/>
  <c r="F26" i="11"/>
  <c r="J26" i="11"/>
  <c r="F27" i="11"/>
  <c r="J27" i="11"/>
  <c r="F28" i="11"/>
  <c r="J28" i="11"/>
  <c r="F29" i="11"/>
  <c r="J29" i="11"/>
  <c r="J30" i="11"/>
  <c r="F31" i="11"/>
  <c r="J31" i="11"/>
  <c r="J2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F6" i="11"/>
  <c r="F7" i="11"/>
  <c r="F8" i="11"/>
  <c r="F9" i="11"/>
  <c r="F10" i="11"/>
  <c r="F12" i="11"/>
  <c r="F14" i="11"/>
  <c r="F15" i="11"/>
  <c r="F16" i="11"/>
  <c r="F17" i="11"/>
  <c r="F18" i="11"/>
  <c r="F19" i="11"/>
  <c r="F20" i="11"/>
  <c r="F21" i="11"/>
  <c r="F22" i="11"/>
  <c r="F23" i="11"/>
  <c r="F5" i="11"/>
  <c r="K131" i="11" l="1"/>
  <c r="K82" i="11"/>
  <c r="K176" i="11"/>
  <c r="K80" i="11"/>
  <c r="K109" i="11"/>
  <c r="K83" i="11"/>
  <c r="K7" i="11"/>
  <c r="F292" i="11"/>
  <c r="F347" i="11" s="1"/>
  <c r="F246" i="11"/>
  <c r="F238" i="11"/>
  <c r="K81" i="11"/>
  <c r="K110" i="11"/>
  <c r="K132" i="11"/>
  <c r="F253" i="11"/>
  <c r="F329" i="11"/>
  <c r="F215" i="11"/>
  <c r="I52" i="10"/>
  <c r="J52" i="11" s="1"/>
  <c r="F291" i="11" s="1"/>
  <c r="F346" i="11" s="1"/>
  <c r="I5" i="10"/>
  <c r="J5" i="11" s="1"/>
  <c r="F276" i="11" s="1"/>
  <c r="F331" i="11" s="1"/>
  <c r="F297" i="11" l="1"/>
  <c r="F283" i="11"/>
  <c r="F338" i="11"/>
  <c r="I215" i="11"/>
  <c r="G215" i="11"/>
  <c r="J215" i="11"/>
  <c r="E267" i="11"/>
  <c r="L266" i="11"/>
  <c r="J266" i="11"/>
  <c r="I266" i="11"/>
  <c r="G266" i="11"/>
  <c r="F266" i="11"/>
  <c r="E266" i="11"/>
  <c r="D266" i="11"/>
  <c r="L265" i="11"/>
  <c r="J265" i="11"/>
  <c r="I265" i="11"/>
  <c r="G265" i="11"/>
  <c r="F265" i="11"/>
  <c r="E265" i="11"/>
  <c r="D265" i="11"/>
  <c r="L264" i="11"/>
  <c r="J264" i="11"/>
  <c r="I264" i="11"/>
  <c r="G264" i="11"/>
  <c r="F264" i="11"/>
  <c r="E264" i="11"/>
  <c r="D264" i="11"/>
  <c r="L262" i="11"/>
  <c r="J262" i="11"/>
  <c r="I262" i="11"/>
  <c r="G262" i="11"/>
  <c r="F262" i="11"/>
  <c r="E262" i="11"/>
  <c r="D262" i="11"/>
  <c r="L261" i="11"/>
  <c r="J261" i="11"/>
  <c r="I261" i="11"/>
  <c r="G261" i="11"/>
  <c r="F261" i="11"/>
  <c r="E261" i="11"/>
  <c r="D261" i="11"/>
  <c r="L260" i="11"/>
  <c r="J260" i="11"/>
  <c r="I260" i="11"/>
  <c r="G260" i="11"/>
  <c r="F260" i="11"/>
  <c r="E260" i="11"/>
  <c r="D260" i="11"/>
  <c r="L259" i="11"/>
  <c r="J259" i="11"/>
  <c r="I259" i="11"/>
  <c r="G259" i="11"/>
  <c r="F259" i="11"/>
  <c r="E259" i="11"/>
  <c r="D259" i="11"/>
  <c r="L258" i="11"/>
  <c r="J258" i="11"/>
  <c r="I258" i="11"/>
  <c r="G258" i="11"/>
  <c r="E258" i="11"/>
  <c r="D258" i="11"/>
  <c r="L257" i="11"/>
  <c r="J257" i="11"/>
  <c r="I257" i="11"/>
  <c r="G257" i="11"/>
  <c r="E257" i="11"/>
  <c r="D257" i="11"/>
  <c r="L256" i="11"/>
  <c r="J256" i="11"/>
  <c r="I256" i="11"/>
  <c r="G256" i="11"/>
  <c r="F256" i="11"/>
  <c r="E256" i="11"/>
  <c r="D256" i="11"/>
  <c r="L255" i="11"/>
  <c r="J255" i="11"/>
  <c r="I255" i="11"/>
  <c r="G255" i="11"/>
  <c r="F255" i="11"/>
  <c r="E255" i="11"/>
  <c r="D255" i="11"/>
  <c r="L254" i="11"/>
  <c r="J254" i="11"/>
  <c r="I254" i="11"/>
  <c r="G254" i="11"/>
  <c r="F254" i="11"/>
  <c r="E254" i="11"/>
  <c r="D254" i="11"/>
  <c r="L253" i="11"/>
  <c r="J253" i="11"/>
  <c r="I253" i="11"/>
  <c r="G253" i="11"/>
  <c r="E253" i="11"/>
  <c r="D253" i="11"/>
  <c r="L252" i="11"/>
  <c r="J252" i="11"/>
  <c r="I252" i="11"/>
  <c r="G252" i="11"/>
  <c r="F252" i="11"/>
  <c r="E252" i="11"/>
  <c r="D252" i="11"/>
  <c r="L251" i="11"/>
  <c r="J251" i="11"/>
  <c r="I251" i="11"/>
  <c r="G251" i="11"/>
  <c r="F251" i="11"/>
  <c r="E251" i="11"/>
  <c r="D251" i="11"/>
  <c r="L250" i="11"/>
  <c r="J250" i="11"/>
  <c r="I250" i="11"/>
  <c r="G250" i="11"/>
  <c r="F250" i="11"/>
  <c r="E250" i="11"/>
  <c r="D250" i="11"/>
  <c r="L249" i="11"/>
  <c r="J249" i="11"/>
  <c r="I249" i="11"/>
  <c r="G249" i="11"/>
  <c r="F249" i="11"/>
  <c r="E249" i="11"/>
  <c r="D249" i="11"/>
  <c r="L248" i="11"/>
  <c r="J248" i="11"/>
  <c r="I248" i="11"/>
  <c r="F248" i="11"/>
  <c r="E248" i="11"/>
  <c r="D248" i="11"/>
  <c r="L246" i="11"/>
  <c r="J246" i="11"/>
  <c r="I246" i="11"/>
  <c r="G246" i="11"/>
  <c r="E246" i="11"/>
  <c r="D246" i="11"/>
  <c r="J245" i="11"/>
  <c r="I245" i="11"/>
  <c r="G245" i="11"/>
  <c r="E245" i="11"/>
  <c r="D245" i="11"/>
  <c r="L244" i="11"/>
  <c r="J244" i="11"/>
  <c r="I244" i="11"/>
  <c r="G244" i="11"/>
  <c r="F244" i="11"/>
  <c r="E244" i="11"/>
  <c r="D244" i="11"/>
  <c r="L243" i="11"/>
  <c r="J243" i="11"/>
  <c r="I243" i="11"/>
  <c r="G243" i="11"/>
  <c r="F243" i="11"/>
  <c r="E243" i="11"/>
  <c r="D243" i="11"/>
  <c r="L242" i="11"/>
  <c r="J242" i="11"/>
  <c r="I242" i="11"/>
  <c r="G242" i="11"/>
  <c r="F242" i="11"/>
  <c r="E242" i="11"/>
  <c r="D242" i="11"/>
  <c r="L241" i="11"/>
  <c r="J241" i="11"/>
  <c r="I241" i="11"/>
  <c r="G241" i="11"/>
  <c r="F241" i="11"/>
  <c r="E241" i="11"/>
  <c r="D241" i="11"/>
  <c r="L240" i="11"/>
  <c r="J240" i="11"/>
  <c r="I240" i="11"/>
  <c r="G240" i="11"/>
  <c r="F240" i="11"/>
  <c r="E240" i="11"/>
  <c r="D240" i="11"/>
  <c r="L239" i="11"/>
  <c r="J239" i="11"/>
  <c r="I239" i="11"/>
  <c r="G239" i="11"/>
  <c r="F239" i="11"/>
  <c r="E239" i="11"/>
  <c r="D239" i="11"/>
  <c r="L238" i="11"/>
  <c r="J238" i="11"/>
  <c r="I238" i="11"/>
  <c r="E238" i="11"/>
  <c r="D238" i="11"/>
  <c r="L236" i="11"/>
  <c r="J236" i="11"/>
  <c r="I236" i="11"/>
  <c r="G236" i="11"/>
  <c r="F236" i="11"/>
  <c r="E236" i="11"/>
  <c r="D236" i="11"/>
  <c r="L235" i="11"/>
  <c r="J235" i="11"/>
  <c r="I235" i="11"/>
  <c r="G235" i="11"/>
  <c r="F235" i="11"/>
  <c r="E235" i="11"/>
  <c r="D235" i="11"/>
  <c r="L234" i="11"/>
  <c r="J234" i="11"/>
  <c r="I234" i="11"/>
  <c r="G234" i="11"/>
  <c r="F234" i="11"/>
  <c r="E234" i="11"/>
  <c r="D234" i="11"/>
  <c r="L233" i="11"/>
  <c r="J233" i="11"/>
  <c r="I233" i="11"/>
  <c r="G233" i="11"/>
  <c r="F233" i="11"/>
  <c r="E233" i="11"/>
  <c r="D233" i="11"/>
  <c r="L232" i="11"/>
  <c r="J232" i="11"/>
  <c r="I232" i="11"/>
  <c r="G232" i="11"/>
  <c r="F232" i="11"/>
  <c r="E232" i="11"/>
  <c r="D232" i="11"/>
  <c r="L231" i="11"/>
  <c r="J231" i="11"/>
  <c r="I231" i="11"/>
  <c r="G231" i="11"/>
  <c r="F231" i="11"/>
  <c r="E231" i="11"/>
  <c r="D231" i="11"/>
  <c r="L230" i="11"/>
  <c r="J230" i="11"/>
  <c r="I230" i="11"/>
  <c r="G230" i="11"/>
  <c r="F230" i="11"/>
  <c r="E230" i="11"/>
  <c r="D230" i="11"/>
  <c r="L229" i="11"/>
  <c r="J229" i="11"/>
  <c r="I229" i="11"/>
  <c r="G229" i="11"/>
  <c r="F229" i="11"/>
  <c r="E229" i="11"/>
  <c r="D229" i="11"/>
  <c r="L228" i="11"/>
  <c r="J228" i="11"/>
  <c r="I228" i="11"/>
  <c r="F228" i="11"/>
  <c r="E228" i="11"/>
  <c r="D228" i="11"/>
  <c r="K217" i="11"/>
  <c r="K216" i="11"/>
  <c r="L215" i="11"/>
  <c r="E215" i="11"/>
  <c r="D215" i="11"/>
  <c r="K214" i="11"/>
  <c r="K213" i="11"/>
  <c r="K212" i="11"/>
  <c r="K211" i="11"/>
  <c r="K210" i="11"/>
  <c r="K209" i="11"/>
  <c r="K208" i="11"/>
  <c r="K207" i="11"/>
  <c r="K206" i="11"/>
  <c r="L205" i="11"/>
  <c r="J205" i="11"/>
  <c r="I205" i="11"/>
  <c r="G205" i="11"/>
  <c r="F205" i="11"/>
  <c r="D205" i="11"/>
  <c r="K204" i="11"/>
  <c r="K203" i="11"/>
  <c r="K202" i="11"/>
  <c r="K201" i="11"/>
  <c r="K200" i="11"/>
  <c r="K199" i="11"/>
  <c r="E198" i="11"/>
  <c r="K197" i="11"/>
  <c r="L196" i="11"/>
  <c r="J196" i="11"/>
  <c r="I196" i="11"/>
  <c r="G196" i="11"/>
  <c r="F196" i="11"/>
  <c r="D196" i="11"/>
  <c r="K195" i="11"/>
  <c r="K194" i="11"/>
  <c r="K193" i="11"/>
  <c r="L192" i="11"/>
  <c r="J192" i="11"/>
  <c r="I192" i="11"/>
  <c r="G192" i="11"/>
  <c r="F192" i="11"/>
  <c r="D192" i="11"/>
  <c r="K191" i="11"/>
  <c r="K190" i="11"/>
  <c r="K189" i="11"/>
  <c r="K188" i="11"/>
  <c r="K187" i="11"/>
  <c r="K186" i="11"/>
  <c r="K185" i="11"/>
  <c r="K184" i="11"/>
  <c r="K183" i="11"/>
  <c r="L182" i="11"/>
  <c r="J182" i="11"/>
  <c r="I182" i="11"/>
  <c r="G182" i="11"/>
  <c r="F182" i="11"/>
  <c r="D182" i="11"/>
  <c r="K181" i="11"/>
  <c r="K180" i="11"/>
  <c r="E179" i="11"/>
  <c r="K178" i="11"/>
  <c r="K177" i="11"/>
  <c r="L174" i="11"/>
  <c r="J174" i="11"/>
  <c r="I174" i="11"/>
  <c r="G174" i="11"/>
  <c r="F174" i="11"/>
  <c r="D174" i="11"/>
  <c r="K173" i="11"/>
  <c r="K172" i="11"/>
  <c r="K171" i="11"/>
  <c r="K170" i="11"/>
  <c r="K169" i="11"/>
  <c r="K168" i="11"/>
  <c r="K167" i="11"/>
  <c r="K166" i="11"/>
  <c r="K165" i="11"/>
  <c r="K164" i="11"/>
  <c r="L163" i="11"/>
  <c r="L179" i="11" s="1"/>
  <c r="J163" i="11"/>
  <c r="J179" i="11" s="1"/>
  <c r="I163" i="11"/>
  <c r="I179" i="11" s="1"/>
  <c r="G163" i="11"/>
  <c r="F163" i="11"/>
  <c r="F179" i="11" s="1"/>
  <c r="D163" i="11"/>
  <c r="D179" i="11" s="1"/>
  <c r="K162" i="11"/>
  <c r="K161" i="11"/>
  <c r="K160" i="11"/>
  <c r="K159" i="11"/>
  <c r="K158" i="11"/>
  <c r="K157" i="11"/>
  <c r="E156" i="11"/>
  <c r="K155" i="11"/>
  <c r="K154" i="11"/>
  <c r="L153" i="11"/>
  <c r="J153" i="11"/>
  <c r="I153" i="11"/>
  <c r="G153" i="11"/>
  <c r="F153" i="11"/>
  <c r="D153" i="11"/>
  <c r="K152" i="11"/>
  <c r="K151" i="11"/>
  <c r="K150" i="11"/>
  <c r="K149" i="11"/>
  <c r="K148" i="11"/>
  <c r="K147" i="11"/>
  <c r="K146" i="11"/>
  <c r="K145" i="11"/>
  <c r="K144" i="11"/>
  <c r="L143" i="11"/>
  <c r="J143" i="11"/>
  <c r="I143" i="11"/>
  <c r="G143" i="11"/>
  <c r="F143" i="11"/>
  <c r="D143" i="11"/>
  <c r="K142" i="11"/>
  <c r="K141" i="11"/>
  <c r="K140" i="11"/>
  <c r="K139" i="11"/>
  <c r="K138" i="11"/>
  <c r="K137" i="11"/>
  <c r="K136" i="11"/>
  <c r="E135" i="11"/>
  <c r="K134" i="11"/>
  <c r="K133" i="11"/>
  <c r="L130" i="11"/>
  <c r="J130" i="11"/>
  <c r="I130" i="11"/>
  <c r="G130" i="11"/>
  <c r="F130" i="11"/>
  <c r="D130" i="11"/>
  <c r="K129" i="11"/>
  <c r="K128" i="11"/>
  <c r="K127" i="11"/>
  <c r="K126" i="11"/>
  <c r="K125" i="11"/>
  <c r="K124" i="11"/>
  <c r="K123" i="11"/>
  <c r="K122" i="11"/>
  <c r="K121" i="11"/>
  <c r="L120" i="11"/>
  <c r="J120" i="11"/>
  <c r="I120" i="11"/>
  <c r="G120" i="11"/>
  <c r="F120" i="11"/>
  <c r="D120" i="11"/>
  <c r="K119" i="11"/>
  <c r="K118" i="11"/>
  <c r="K117" i="11"/>
  <c r="K116" i="11"/>
  <c r="K115" i="11"/>
  <c r="K114" i="11"/>
  <c r="E113" i="11"/>
  <c r="K112" i="11"/>
  <c r="K111" i="11"/>
  <c r="L108" i="11"/>
  <c r="J108" i="11"/>
  <c r="I108" i="11"/>
  <c r="G108" i="11"/>
  <c r="F108" i="11"/>
  <c r="D108" i="11"/>
  <c r="K107" i="11"/>
  <c r="K106" i="11"/>
  <c r="K105" i="11"/>
  <c r="K104" i="11"/>
  <c r="K103" i="11"/>
  <c r="K102" i="11"/>
  <c r="K101" i="11"/>
  <c r="K100" i="11"/>
  <c r="K99" i="11"/>
  <c r="K98" i="11"/>
  <c r="K97" i="11"/>
  <c r="L96" i="11"/>
  <c r="J96" i="11"/>
  <c r="I96" i="11"/>
  <c r="G96" i="11"/>
  <c r="F96" i="11"/>
  <c r="D96" i="11"/>
  <c r="K95" i="11"/>
  <c r="K94" i="11"/>
  <c r="K93" i="11"/>
  <c r="K92" i="11"/>
  <c r="K91" i="11"/>
  <c r="K90" i="11"/>
  <c r="K89" i="11"/>
  <c r="K87" i="11"/>
  <c r="K86" i="11"/>
  <c r="K85" i="11"/>
  <c r="K84" i="11"/>
  <c r="L79" i="11"/>
  <c r="J79" i="11"/>
  <c r="I79" i="11"/>
  <c r="G79" i="11"/>
  <c r="F79" i="11"/>
  <c r="D79" i="11"/>
  <c r="K78" i="11"/>
  <c r="K77" i="11"/>
  <c r="L76" i="11"/>
  <c r="J76" i="11"/>
  <c r="I76" i="11"/>
  <c r="G76" i="11"/>
  <c r="D76" i="11"/>
  <c r="K75" i="11"/>
  <c r="K74" i="11"/>
  <c r="K73" i="11"/>
  <c r="K72" i="11"/>
  <c r="K69" i="11"/>
  <c r="K68" i="11"/>
  <c r="K67" i="11"/>
  <c r="K66" i="11"/>
  <c r="K65" i="11"/>
  <c r="K64" i="11"/>
  <c r="K63" i="11"/>
  <c r="K62" i="11"/>
  <c r="G248" i="11"/>
  <c r="L61" i="11"/>
  <c r="J61" i="11"/>
  <c r="I61" i="11"/>
  <c r="F61" i="11"/>
  <c r="D61" i="11"/>
  <c r="K60" i="11"/>
  <c r="K59" i="11"/>
  <c r="K58" i="11"/>
  <c r="K57" i="11"/>
  <c r="K56" i="11"/>
  <c r="K55" i="11"/>
  <c r="K54" i="11"/>
  <c r="K53" i="11"/>
  <c r="L51" i="11"/>
  <c r="J51" i="11"/>
  <c r="I51" i="11"/>
  <c r="G51" i="11"/>
  <c r="F51" i="11"/>
  <c r="D51" i="11"/>
  <c r="K50" i="11"/>
  <c r="K49" i="11"/>
  <c r="L48" i="11"/>
  <c r="J48" i="11"/>
  <c r="I48" i="11"/>
  <c r="G48" i="11"/>
  <c r="F48" i="11"/>
  <c r="D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L32" i="11"/>
  <c r="J32" i="11"/>
  <c r="I32" i="11"/>
  <c r="G32" i="11"/>
  <c r="E32" i="11"/>
  <c r="D32" i="11"/>
  <c r="K31" i="11"/>
  <c r="K29" i="11"/>
  <c r="K28" i="11"/>
  <c r="K27" i="11"/>
  <c r="K26" i="11"/>
  <c r="L24" i="11"/>
  <c r="L237" i="11" s="1"/>
  <c r="J24" i="11"/>
  <c r="J237" i="11" s="1"/>
  <c r="I24" i="11"/>
  <c r="I237" i="11" s="1"/>
  <c r="F24" i="11"/>
  <c r="F237" i="11" s="1"/>
  <c r="E24" i="11"/>
  <c r="E237" i="11" s="1"/>
  <c r="D24" i="11"/>
  <c r="D237" i="11" s="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6" i="11"/>
  <c r="K5" i="11"/>
  <c r="G228" i="11"/>
  <c r="I218" i="11" l="1"/>
  <c r="K24" i="11"/>
  <c r="K246" i="11"/>
  <c r="M12" i="11"/>
  <c r="M16" i="11"/>
  <c r="M20" i="11"/>
  <c r="M36" i="11"/>
  <c r="M40" i="11"/>
  <c r="M44" i="11"/>
  <c r="M55" i="11"/>
  <c r="M59" i="11"/>
  <c r="M66" i="11"/>
  <c r="M72" i="11"/>
  <c r="M83" i="11"/>
  <c r="M87" i="11"/>
  <c r="M92" i="11"/>
  <c r="M103" i="11"/>
  <c r="M107" i="11"/>
  <c r="M110" i="11"/>
  <c r="M118" i="11"/>
  <c r="M121" i="11"/>
  <c r="M125" i="11"/>
  <c r="M129" i="11"/>
  <c r="M132" i="11"/>
  <c r="M136" i="11"/>
  <c r="M140" i="11"/>
  <c r="M147" i="11"/>
  <c r="M151" i="11"/>
  <c r="M154" i="11"/>
  <c r="M158" i="11"/>
  <c r="M162" i="11"/>
  <c r="M169" i="11"/>
  <c r="M173" i="11"/>
  <c r="M176" i="11"/>
  <c r="M180" i="11"/>
  <c r="M183" i="11"/>
  <c r="M187" i="11"/>
  <c r="M191" i="11"/>
  <c r="M194" i="11"/>
  <c r="M197" i="11"/>
  <c r="M201" i="11"/>
  <c r="M208" i="11"/>
  <c r="M212" i="11"/>
  <c r="M17" i="11"/>
  <c r="M21" i="11"/>
  <c r="M29" i="11"/>
  <c r="M33" i="11"/>
  <c r="M56" i="11"/>
  <c r="M67" i="11"/>
  <c r="M100" i="11"/>
  <c r="M111" i="11"/>
  <c r="M133" i="11"/>
  <c r="M141" i="11"/>
  <c r="M144" i="11"/>
  <c r="M152" i="11"/>
  <c r="M155" i="11"/>
  <c r="M166" i="11"/>
  <c r="M177" i="11"/>
  <c r="M202" i="11"/>
  <c r="M209" i="11"/>
  <c r="M62" i="11"/>
  <c r="M99" i="11"/>
  <c r="M37" i="11"/>
  <c r="M60" i="11"/>
  <c r="M73" i="11"/>
  <c r="M80" i="11"/>
  <c r="M84" i="11"/>
  <c r="M93" i="11"/>
  <c r="M104" i="11"/>
  <c r="M115" i="11"/>
  <c r="M119" i="11"/>
  <c r="M126" i="11"/>
  <c r="M137" i="11"/>
  <c r="M159" i="11"/>
  <c r="M170" i="11"/>
  <c r="M181" i="11"/>
  <c r="M213" i="11"/>
  <c r="M14" i="11"/>
  <c r="M18" i="11"/>
  <c r="M22" i="11"/>
  <c r="M26" i="11"/>
  <c r="M31" i="11"/>
  <c r="M38" i="11"/>
  <c r="M42" i="11"/>
  <c r="M46" i="11"/>
  <c r="M53" i="11"/>
  <c r="M57" i="11"/>
  <c r="M64" i="11"/>
  <c r="M68" i="11"/>
  <c r="M74" i="11"/>
  <c r="M78" i="11"/>
  <c r="M81" i="11"/>
  <c r="M85" i="11"/>
  <c r="M90" i="11"/>
  <c r="M94" i="11"/>
  <c r="M97" i="11"/>
  <c r="M101" i="11"/>
  <c r="M105" i="11"/>
  <c r="M112" i="11"/>
  <c r="M116" i="11"/>
  <c r="M123" i="11"/>
  <c r="M127" i="11"/>
  <c r="M134" i="11"/>
  <c r="M138" i="11"/>
  <c r="M142" i="11"/>
  <c r="M149" i="11"/>
  <c r="M160" i="11"/>
  <c r="M167" i="11"/>
  <c r="M171" i="11"/>
  <c r="M178" i="11"/>
  <c r="M185" i="11"/>
  <c r="M189" i="11"/>
  <c r="M203" i="11"/>
  <c r="M206" i="11"/>
  <c r="M210" i="11"/>
  <c r="M214" i="11"/>
  <c r="M216" i="11"/>
  <c r="M11" i="11"/>
  <c r="M15" i="11"/>
  <c r="M19" i="11"/>
  <c r="M27" i="11"/>
  <c r="M35" i="11"/>
  <c r="M39" i="11"/>
  <c r="M43" i="11"/>
  <c r="M47" i="11"/>
  <c r="M50" i="11"/>
  <c r="K240" i="11"/>
  <c r="M58" i="11"/>
  <c r="M65" i="11"/>
  <c r="M69" i="11"/>
  <c r="M75" i="11"/>
  <c r="M82" i="11"/>
  <c r="M86" i="11"/>
  <c r="M91" i="11"/>
  <c r="M95" i="11"/>
  <c r="M102" i="11"/>
  <c r="M106" i="11"/>
  <c r="M109" i="11"/>
  <c r="M117" i="11"/>
  <c r="M124" i="11"/>
  <c r="M128" i="11"/>
  <c r="M131" i="11"/>
  <c r="M139" i="11"/>
  <c r="M146" i="11"/>
  <c r="M150" i="11"/>
  <c r="M161" i="11"/>
  <c r="M164" i="11"/>
  <c r="M168" i="11"/>
  <c r="M172" i="11"/>
  <c r="M175" i="11"/>
  <c r="M200" i="11"/>
  <c r="M204" i="11"/>
  <c r="M211" i="11"/>
  <c r="M217" i="11"/>
  <c r="D218" i="11"/>
  <c r="K228" i="11"/>
  <c r="L113" i="11"/>
  <c r="I135" i="11"/>
  <c r="D156" i="11"/>
  <c r="L198" i="11"/>
  <c r="D113" i="11"/>
  <c r="K174" i="11"/>
  <c r="F156" i="11"/>
  <c r="F135" i="11"/>
  <c r="J113" i="11"/>
  <c r="K205" i="11"/>
  <c r="K108" i="11"/>
  <c r="K96" i="11"/>
  <c r="M54" i="11"/>
  <c r="G113" i="11"/>
  <c r="D135" i="11"/>
  <c r="I156" i="11"/>
  <c r="M165" i="11"/>
  <c r="K239" i="11"/>
  <c r="I267" i="11"/>
  <c r="K163" i="11"/>
  <c r="G179" i="11"/>
  <c r="K182" i="11"/>
  <c r="M199" i="11"/>
  <c r="L88" i="11"/>
  <c r="D88" i="11"/>
  <c r="M98" i="11"/>
  <c r="K215" i="11"/>
  <c r="F218" i="11"/>
  <c r="I198" i="11"/>
  <c r="F198" i="11"/>
  <c r="M157" i="11"/>
  <c r="G156" i="11"/>
  <c r="J156" i="11"/>
  <c r="G135" i="11"/>
  <c r="J135" i="11"/>
  <c r="F113" i="11"/>
  <c r="I113" i="11"/>
  <c r="K243" i="11"/>
  <c r="M89" i="11"/>
  <c r="F267" i="11"/>
  <c r="I263" i="11"/>
  <c r="M28" i="11"/>
  <c r="I88" i="11"/>
  <c r="M207" i="11"/>
  <c r="K229" i="11"/>
  <c r="M6" i="11"/>
  <c r="K231" i="11"/>
  <c r="M8" i="11"/>
  <c r="K234" i="11"/>
  <c r="M10" i="11"/>
  <c r="K48" i="11"/>
  <c r="M34" i="11"/>
  <c r="K51" i="11"/>
  <c r="M49" i="11"/>
  <c r="G238" i="11"/>
  <c r="G61" i="11"/>
  <c r="G88" i="11" s="1"/>
  <c r="K52" i="11"/>
  <c r="K252" i="11"/>
  <c r="K253" i="11"/>
  <c r="K120" i="11"/>
  <c r="M114" i="11"/>
  <c r="M148" i="11"/>
  <c r="K255" i="11"/>
  <c r="K192" i="11"/>
  <c r="M184" i="11"/>
  <c r="K250" i="11"/>
  <c r="M186" i="11"/>
  <c r="M188" i="11"/>
  <c r="K259" i="11"/>
  <c r="M190" i="11"/>
  <c r="K261" i="11"/>
  <c r="D263" i="11"/>
  <c r="K196" i="11"/>
  <c r="M193" i="11"/>
  <c r="M195" i="11"/>
  <c r="K266" i="11"/>
  <c r="L267" i="11"/>
  <c r="D198" i="11"/>
  <c r="L263" i="11"/>
  <c r="I247" i="11"/>
  <c r="M5" i="11"/>
  <c r="K230" i="11"/>
  <c r="M7" i="11"/>
  <c r="K232" i="11"/>
  <c r="M9" i="11"/>
  <c r="K235" i="11"/>
  <c r="K233" i="11"/>
  <c r="M13" i="11"/>
  <c r="K236" i="11"/>
  <c r="M23" i="11"/>
  <c r="E247" i="11"/>
  <c r="E88" i="11"/>
  <c r="J88" i="11"/>
  <c r="K256" i="11"/>
  <c r="M41" i="11"/>
  <c r="K260" i="11"/>
  <c r="M45" i="11"/>
  <c r="M63" i="11"/>
  <c r="K79" i="11"/>
  <c r="M77" i="11"/>
  <c r="L135" i="11"/>
  <c r="K130" i="11"/>
  <c r="M122" i="11"/>
  <c r="D267" i="11"/>
  <c r="J247" i="11"/>
  <c r="L247" i="11"/>
  <c r="K241" i="11"/>
  <c r="K242" i="11"/>
  <c r="K244" i="11"/>
  <c r="D247" i="11"/>
  <c r="G24" i="11"/>
  <c r="G237" i="11" s="1"/>
  <c r="K143" i="11"/>
  <c r="L156" i="11"/>
  <c r="K153" i="11"/>
  <c r="M145" i="11"/>
  <c r="G198" i="11"/>
  <c r="J198" i="11"/>
  <c r="G267" i="11"/>
  <c r="J267" i="11"/>
  <c r="E263" i="11"/>
  <c r="E218" i="11"/>
  <c r="G263" i="11"/>
  <c r="J263" i="11"/>
  <c r="K248" i="11"/>
  <c r="K249" i="11"/>
  <c r="K251" i="11"/>
  <c r="K254" i="11"/>
  <c r="K262" i="11"/>
  <c r="K264" i="11"/>
  <c r="K265" i="11"/>
  <c r="G218" i="11"/>
  <c r="J218" i="11"/>
  <c r="L218" i="11"/>
  <c r="F71" i="10"/>
  <c r="F71" i="11" s="1"/>
  <c r="F70" i="10"/>
  <c r="M143" i="11" l="1"/>
  <c r="M182" i="11"/>
  <c r="M96" i="11"/>
  <c r="M163" i="11"/>
  <c r="M51" i="11"/>
  <c r="M205" i="11"/>
  <c r="K237" i="11"/>
  <c r="K179" i="11"/>
  <c r="M79" i="11"/>
  <c r="M120" i="11"/>
  <c r="M108" i="11"/>
  <c r="M113" i="11" s="1"/>
  <c r="K218" i="11"/>
  <c r="M130" i="11"/>
  <c r="M215" i="11"/>
  <c r="M218" i="11" s="1"/>
  <c r="M174" i="11"/>
  <c r="F70" i="11"/>
  <c r="K70" i="11" s="1"/>
  <c r="K113" i="11"/>
  <c r="I219" i="11"/>
  <c r="I268" i="11" s="1"/>
  <c r="D219" i="11"/>
  <c r="D268" i="11" s="1"/>
  <c r="L219" i="11"/>
  <c r="L268" i="11" s="1"/>
  <c r="K71" i="11"/>
  <c r="F258" i="11"/>
  <c r="K198" i="11"/>
  <c r="M196" i="11"/>
  <c r="G219" i="11"/>
  <c r="G268" i="11" s="1"/>
  <c r="K135" i="11"/>
  <c r="G247" i="11"/>
  <c r="K156" i="11"/>
  <c r="M192" i="11"/>
  <c r="M52" i="11"/>
  <c r="M61" i="11" s="1"/>
  <c r="K61" i="11"/>
  <c r="M153" i="11"/>
  <c r="J219" i="11"/>
  <c r="J268" i="11" s="1"/>
  <c r="E219" i="11"/>
  <c r="E268" i="11" s="1"/>
  <c r="M24" i="11"/>
  <c r="K267" i="11"/>
  <c r="M48" i="11"/>
  <c r="D249" i="10"/>
  <c r="E249" i="10"/>
  <c r="F249" i="10"/>
  <c r="G249" i="10"/>
  <c r="H249" i="10"/>
  <c r="I249" i="10"/>
  <c r="K249" i="10"/>
  <c r="D215" i="10"/>
  <c r="E215" i="10"/>
  <c r="F215" i="10"/>
  <c r="G215" i="10"/>
  <c r="H215" i="10"/>
  <c r="I215" i="10"/>
  <c r="K215" i="10"/>
  <c r="J207" i="10"/>
  <c r="L207" i="10" s="1"/>
  <c r="F319" i="11" l="1"/>
  <c r="M156" i="11"/>
  <c r="M179" i="11"/>
  <c r="M135" i="11"/>
  <c r="M70" i="11"/>
  <c r="K257" i="11"/>
  <c r="F76" i="11"/>
  <c r="F263" i="11" s="1"/>
  <c r="F257" i="11"/>
  <c r="M198" i="11"/>
  <c r="M71" i="11"/>
  <c r="K258" i="11"/>
  <c r="K76" i="11"/>
  <c r="E267" i="10"/>
  <c r="K266" i="10"/>
  <c r="I266" i="10"/>
  <c r="H266" i="10"/>
  <c r="G266" i="10"/>
  <c r="F266" i="10"/>
  <c r="E266" i="10"/>
  <c r="D266" i="10"/>
  <c r="K265" i="10"/>
  <c r="I265" i="10"/>
  <c r="H265" i="10"/>
  <c r="G265" i="10"/>
  <c r="F265" i="10"/>
  <c r="E265" i="10"/>
  <c r="D265" i="10"/>
  <c r="K264" i="10"/>
  <c r="I264" i="10"/>
  <c r="H264" i="10"/>
  <c r="G264" i="10"/>
  <c r="F264" i="10"/>
  <c r="E264" i="10"/>
  <c r="D264" i="10"/>
  <c r="K262" i="10"/>
  <c r="I262" i="10"/>
  <c r="H262" i="10"/>
  <c r="G262" i="10"/>
  <c r="F262" i="10"/>
  <c r="E262" i="10"/>
  <c r="D262" i="10"/>
  <c r="K261" i="10"/>
  <c r="I261" i="10"/>
  <c r="H261" i="10"/>
  <c r="G261" i="10"/>
  <c r="F261" i="10"/>
  <c r="E261" i="10"/>
  <c r="D261" i="10"/>
  <c r="K260" i="10"/>
  <c r="I260" i="10"/>
  <c r="H260" i="10"/>
  <c r="G260" i="10"/>
  <c r="F260" i="10"/>
  <c r="E260" i="10"/>
  <c r="D260" i="10"/>
  <c r="K259" i="10"/>
  <c r="I259" i="10"/>
  <c r="H259" i="10"/>
  <c r="G259" i="10"/>
  <c r="F259" i="10"/>
  <c r="E259" i="10"/>
  <c r="D259" i="10"/>
  <c r="K258" i="10"/>
  <c r="I258" i="10"/>
  <c r="H258" i="10"/>
  <c r="G258" i="10"/>
  <c r="F258" i="10"/>
  <c r="E258" i="10"/>
  <c r="D258" i="10"/>
  <c r="K257" i="10"/>
  <c r="I257" i="10"/>
  <c r="H257" i="10"/>
  <c r="G257" i="10"/>
  <c r="F257" i="10"/>
  <c r="E257" i="10"/>
  <c r="D257" i="10"/>
  <c r="K256" i="10"/>
  <c r="I256" i="10"/>
  <c r="H256" i="10"/>
  <c r="G256" i="10"/>
  <c r="F256" i="10"/>
  <c r="E256" i="10"/>
  <c r="D256" i="10"/>
  <c r="K255" i="10"/>
  <c r="I255" i="10"/>
  <c r="H255" i="10"/>
  <c r="G255" i="10"/>
  <c r="F255" i="10"/>
  <c r="E255" i="10"/>
  <c r="D255" i="10"/>
  <c r="K254" i="10"/>
  <c r="I254" i="10"/>
  <c r="H254" i="10"/>
  <c r="G254" i="10"/>
  <c r="F254" i="10"/>
  <c r="E254" i="10"/>
  <c r="D254" i="10"/>
  <c r="K253" i="10"/>
  <c r="I253" i="10"/>
  <c r="H253" i="10"/>
  <c r="G253" i="10"/>
  <c r="F253" i="10"/>
  <c r="E253" i="10"/>
  <c r="D253" i="10"/>
  <c r="K252" i="10"/>
  <c r="I252" i="10"/>
  <c r="H252" i="10"/>
  <c r="G252" i="10"/>
  <c r="F252" i="10"/>
  <c r="E252" i="10"/>
  <c r="D252" i="10"/>
  <c r="K251" i="10"/>
  <c r="I251" i="10"/>
  <c r="H251" i="10"/>
  <c r="G251" i="10"/>
  <c r="F251" i="10"/>
  <c r="E251" i="10"/>
  <c r="D251" i="10"/>
  <c r="K250" i="10"/>
  <c r="I250" i="10"/>
  <c r="H250" i="10"/>
  <c r="G250" i="10"/>
  <c r="F250" i="10"/>
  <c r="E250" i="10"/>
  <c r="D250" i="10"/>
  <c r="K248" i="10"/>
  <c r="I248" i="10"/>
  <c r="H248" i="10"/>
  <c r="G248" i="10"/>
  <c r="F248" i="10"/>
  <c r="E248" i="10"/>
  <c r="D248" i="10"/>
  <c r="K246" i="10"/>
  <c r="I246" i="10"/>
  <c r="H246" i="10"/>
  <c r="G246" i="10"/>
  <c r="F246" i="10"/>
  <c r="E246" i="10"/>
  <c r="D246" i="10"/>
  <c r="K245" i="10"/>
  <c r="I245" i="10"/>
  <c r="H245" i="10"/>
  <c r="G245" i="10"/>
  <c r="E245" i="10"/>
  <c r="D245" i="10"/>
  <c r="K244" i="10"/>
  <c r="I244" i="10"/>
  <c r="H244" i="10"/>
  <c r="G244" i="10"/>
  <c r="F244" i="10"/>
  <c r="E244" i="10"/>
  <c r="D244" i="10"/>
  <c r="K243" i="10"/>
  <c r="I243" i="10"/>
  <c r="H243" i="10"/>
  <c r="G243" i="10"/>
  <c r="F243" i="10"/>
  <c r="E243" i="10"/>
  <c r="D243" i="10"/>
  <c r="K242" i="10"/>
  <c r="I242" i="10"/>
  <c r="H242" i="10"/>
  <c r="G242" i="10"/>
  <c r="F242" i="10"/>
  <c r="E242" i="10"/>
  <c r="D242" i="10"/>
  <c r="K241" i="10"/>
  <c r="I241" i="10"/>
  <c r="H241" i="10"/>
  <c r="G241" i="10"/>
  <c r="F241" i="10"/>
  <c r="E241" i="10"/>
  <c r="D241" i="10"/>
  <c r="K240" i="10"/>
  <c r="I240" i="10"/>
  <c r="H240" i="10"/>
  <c r="G240" i="10"/>
  <c r="F240" i="10"/>
  <c r="E240" i="10"/>
  <c r="D240" i="10"/>
  <c r="K239" i="10"/>
  <c r="I239" i="10"/>
  <c r="H239" i="10"/>
  <c r="G239" i="10"/>
  <c r="F239" i="10"/>
  <c r="E239" i="10"/>
  <c r="D239" i="10"/>
  <c r="K238" i="10"/>
  <c r="I238" i="10"/>
  <c r="H238" i="10"/>
  <c r="G238" i="10"/>
  <c r="E238" i="10"/>
  <c r="D238" i="10"/>
  <c r="K236" i="10"/>
  <c r="I236" i="10"/>
  <c r="H236" i="10"/>
  <c r="G236" i="10"/>
  <c r="F236" i="10"/>
  <c r="E236" i="10"/>
  <c r="D236" i="10"/>
  <c r="K235" i="10"/>
  <c r="I235" i="10"/>
  <c r="H235" i="10"/>
  <c r="G235" i="10"/>
  <c r="F235" i="10"/>
  <c r="E235" i="10"/>
  <c r="D235" i="10"/>
  <c r="K234" i="10"/>
  <c r="I234" i="10"/>
  <c r="H234" i="10"/>
  <c r="G234" i="10"/>
  <c r="F234" i="10"/>
  <c r="E234" i="10"/>
  <c r="D234" i="10"/>
  <c r="K233" i="10"/>
  <c r="I233" i="10"/>
  <c r="H233" i="10"/>
  <c r="G233" i="10"/>
  <c r="F233" i="10"/>
  <c r="E233" i="10"/>
  <c r="D233" i="10"/>
  <c r="K232" i="10"/>
  <c r="I232" i="10"/>
  <c r="H232" i="10"/>
  <c r="G232" i="10"/>
  <c r="F232" i="10"/>
  <c r="E232" i="10"/>
  <c r="D232" i="10"/>
  <c r="K231" i="10"/>
  <c r="I231" i="10"/>
  <c r="H231" i="10"/>
  <c r="G231" i="10"/>
  <c r="F231" i="10"/>
  <c r="E231" i="10"/>
  <c r="D231" i="10"/>
  <c r="K230" i="10"/>
  <c r="I230" i="10"/>
  <c r="H230" i="10"/>
  <c r="G230" i="10"/>
  <c r="F230" i="10"/>
  <c r="E230" i="10"/>
  <c r="D230" i="10"/>
  <c r="K229" i="10"/>
  <c r="I229" i="10"/>
  <c r="H229" i="10"/>
  <c r="G229" i="10"/>
  <c r="F229" i="10"/>
  <c r="E229" i="10"/>
  <c r="D229" i="10"/>
  <c r="K228" i="10"/>
  <c r="I228" i="10"/>
  <c r="H228" i="10"/>
  <c r="G228" i="10"/>
  <c r="F228" i="10"/>
  <c r="E228" i="10"/>
  <c r="D228" i="10"/>
  <c r="E218" i="10"/>
  <c r="J217" i="10"/>
  <c r="L217" i="10" s="1"/>
  <c r="J216" i="10"/>
  <c r="L216" i="10" s="1"/>
  <c r="J214" i="10"/>
  <c r="L214" i="10" s="1"/>
  <c r="J213" i="10"/>
  <c r="J212" i="10"/>
  <c r="L212" i="10" s="1"/>
  <c r="J211" i="10"/>
  <c r="L211" i="10" s="1"/>
  <c r="J210" i="10"/>
  <c r="L210" i="10" s="1"/>
  <c r="J209" i="10"/>
  <c r="L209" i="10" s="1"/>
  <c r="J208" i="10"/>
  <c r="L208" i="10" s="1"/>
  <c r="J206" i="10"/>
  <c r="L206" i="10" s="1"/>
  <c r="K205" i="10"/>
  <c r="I205" i="10"/>
  <c r="H205" i="10"/>
  <c r="G205" i="10"/>
  <c r="F205" i="10"/>
  <c r="D205" i="10"/>
  <c r="J204" i="10"/>
  <c r="L204" i="10" s="1"/>
  <c r="J203" i="10"/>
  <c r="L203" i="10" s="1"/>
  <c r="J202" i="10"/>
  <c r="L202" i="10" s="1"/>
  <c r="J201" i="10"/>
  <c r="L201" i="10" s="1"/>
  <c r="J200" i="10"/>
  <c r="L200" i="10" s="1"/>
  <c r="J199" i="10"/>
  <c r="E198" i="10"/>
  <c r="J197" i="10"/>
  <c r="J264" i="10" s="1"/>
  <c r="K196" i="10"/>
  <c r="I196" i="10"/>
  <c r="H196" i="10"/>
  <c r="G196" i="10"/>
  <c r="F196" i="10"/>
  <c r="D196" i="10"/>
  <c r="J195" i="10"/>
  <c r="L195" i="10" s="1"/>
  <c r="J194" i="10"/>
  <c r="J193" i="10"/>
  <c r="K192" i="10"/>
  <c r="I192" i="10"/>
  <c r="H192" i="10"/>
  <c r="G192" i="10"/>
  <c r="F192" i="10"/>
  <c r="D192" i="10"/>
  <c r="J191" i="10"/>
  <c r="L191" i="10" s="1"/>
  <c r="J190" i="10"/>
  <c r="L190" i="10" s="1"/>
  <c r="J189" i="10"/>
  <c r="L189" i="10" s="1"/>
  <c r="J188" i="10"/>
  <c r="L188" i="10" s="1"/>
  <c r="J187" i="10"/>
  <c r="J186" i="10"/>
  <c r="J185" i="10"/>
  <c r="J184" i="10"/>
  <c r="J183" i="10"/>
  <c r="L183" i="10" s="1"/>
  <c r="K182" i="10"/>
  <c r="I182" i="10"/>
  <c r="H182" i="10"/>
  <c r="G182" i="10"/>
  <c r="F182" i="10"/>
  <c r="D182" i="10"/>
  <c r="J181" i="10"/>
  <c r="L181" i="10" s="1"/>
  <c r="J180" i="10"/>
  <c r="L180" i="10" s="1"/>
  <c r="E179" i="10"/>
  <c r="J178" i="10"/>
  <c r="L178" i="10" s="1"/>
  <c r="J177" i="10"/>
  <c r="L177" i="10" s="1"/>
  <c r="J176" i="10"/>
  <c r="L176" i="10" s="1"/>
  <c r="J175" i="10"/>
  <c r="L175" i="10" s="1"/>
  <c r="K174" i="10"/>
  <c r="I174" i="10"/>
  <c r="H174" i="10"/>
  <c r="G174" i="10"/>
  <c r="F174" i="10"/>
  <c r="D174" i="10"/>
  <c r="J173" i="10"/>
  <c r="L173" i="10" s="1"/>
  <c r="J172" i="10"/>
  <c r="L172" i="10" s="1"/>
  <c r="J171" i="10"/>
  <c r="L171" i="10" s="1"/>
  <c r="J170" i="10"/>
  <c r="L170" i="10" s="1"/>
  <c r="J169" i="10"/>
  <c r="L169" i="10" s="1"/>
  <c r="J168" i="10"/>
  <c r="L168" i="10" s="1"/>
  <c r="J167" i="10"/>
  <c r="L167" i="10" s="1"/>
  <c r="J166" i="10"/>
  <c r="L166" i="10" s="1"/>
  <c r="J165" i="10"/>
  <c r="J164" i="10"/>
  <c r="L164" i="10" s="1"/>
  <c r="K163" i="10"/>
  <c r="K179" i="10" s="1"/>
  <c r="I163" i="10"/>
  <c r="I179" i="10" s="1"/>
  <c r="H163" i="10"/>
  <c r="H179" i="10" s="1"/>
  <c r="G163" i="10"/>
  <c r="G179" i="10" s="1"/>
  <c r="F163" i="10"/>
  <c r="F179" i="10" s="1"/>
  <c r="D163" i="10"/>
  <c r="D179" i="10" s="1"/>
  <c r="J162" i="10"/>
  <c r="L162" i="10" s="1"/>
  <c r="J161" i="10"/>
  <c r="L161" i="10" s="1"/>
  <c r="J160" i="10"/>
  <c r="L160" i="10" s="1"/>
  <c r="J159" i="10"/>
  <c r="L159" i="10" s="1"/>
  <c r="J158" i="10"/>
  <c r="L158" i="10" s="1"/>
  <c r="J157" i="10"/>
  <c r="E156" i="10"/>
  <c r="J155" i="10"/>
  <c r="L155" i="10" s="1"/>
  <c r="J154" i="10"/>
  <c r="L154" i="10" s="1"/>
  <c r="K153" i="10"/>
  <c r="I153" i="10"/>
  <c r="H153" i="10"/>
  <c r="G153" i="10"/>
  <c r="F153" i="10"/>
  <c r="D153" i="10"/>
  <c r="J152" i="10"/>
  <c r="L152" i="10" s="1"/>
  <c r="J151" i="10"/>
  <c r="L151" i="10" s="1"/>
  <c r="J150" i="10"/>
  <c r="L150" i="10" s="1"/>
  <c r="J149" i="10"/>
  <c r="L149" i="10" s="1"/>
  <c r="J148" i="10"/>
  <c r="L148" i="10" s="1"/>
  <c r="J147" i="10"/>
  <c r="L147" i="10" s="1"/>
  <c r="J146" i="10"/>
  <c r="L146" i="10" s="1"/>
  <c r="J145" i="10"/>
  <c r="J144" i="10"/>
  <c r="L144" i="10" s="1"/>
  <c r="K143" i="10"/>
  <c r="I143" i="10"/>
  <c r="H143" i="10"/>
  <c r="G143" i="10"/>
  <c r="F143" i="10"/>
  <c r="D143" i="10"/>
  <c r="J142" i="10"/>
  <c r="L142" i="10" s="1"/>
  <c r="J141" i="10"/>
  <c r="L141" i="10" s="1"/>
  <c r="J140" i="10"/>
  <c r="L140" i="10" s="1"/>
  <c r="J139" i="10"/>
  <c r="L139" i="10" s="1"/>
  <c r="J138" i="10"/>
  <c r="L138" i="10" s="1"/>
  <c r="J137" i="10"/>
  <c r="L137" i="10" s="1"/>
  <c r="J136" i="10"/>
  <c r="E135" i="10"/>
  <c r="J134" i="10"/>
  <c r="L134" i="10" s="1"/>
  <c r="J133" i="10"/>
  <c r="L133" i="10" s="1"/>
  <c r="J132" i="10"/>
  <c r="L132" i="10" s="1"/>
  <c r="J131" i="10"/>
  <c r="L131" i="10" s="1"/>
  <c r="K130" i="10"/>
  <c r="I130" i="10"/>
  <c r="H130" i="10"/>
  <c r="G130" i="10"/>
  <c r="F130" i="10"/>
  <c r="D130" i="10"/>
  <c r="J129" i="10"/>
  <c r="L129" i="10" s="1"/>
  <c r="J128" i="10"/>
  <c r="L128" i="10" s="1"/>
  <c r="J127" i="10"/>
  <c r="L127" i="10" s="1"/>
  <c r="J126" i="10"/>
  <c r="L126" i="10" s="1"/>
  <c r="J125" i="10"/>
  <c r="L125" i="10" s="1"/>
  <c r="J124" i="10"/>
  <c r="L124" i="10" s="1"/>
  <c r="J123" i="10"/>
  <c r="L123" i="10" s="1"/>
  <c r="J122" i="10"/>
  <c r="J121" i="10"/>
  <c r="L121" i="10" s="1"/>
  <c r="K120" i="10"/>
  <c r="I120" i="10"/>
  <c r="H120" i="10"/>
  <c r="G120" i="10"/>
  <c r="F120" i="10"/>
  <c r="D120" i="10"/>
  <c r="J119" i="10"/>
  <c r="L119" i="10" s="1"/>
  <c r="J118" i="10"/>
  <c r="L118" i="10" s="1"/>
  <c r="J117" i="10"/>
  <c r="L117" i="10" s="1"/>
  <c r="J116" i="10"/>
  <c r="L116" i="10" s="1"/>
  <c r="J115" i="10"/>
  <c r="L115" i="10" s="1"/>
  <c r="J114" i="10"/>
  <c r="E113" i="10"/>
  <c r="J112" i="10"/>
  <c r="L112" i="10" s="1"/>
  <c r="J111" i="10"/>
  <c r="L111" i="10" s="1"/>
  <c r="J110" i="10"/>
  <c r="L110" i="10" s="1"/>
  <c r="J109" i="10"/>
  <c r="L109" i="10" s="1"/>
  <c r="K108" i="10"/>
  <c r="I108" i="10"/>
  <c r="H108" i="10"/>
  <c r="G108" i="10"/>
  <c r="F108" i="10"/>
  <c r="D108" i="10"/>
  <c r="J107" i="10"/>
  <c r="L107" i="10" s="1"/>
  <c r="J106" i="10"/>
  <c r="L106" i="10" s="1"/>
  <c r="J105" i="10"/>
  <c r="L105" i="10" s="1"/>
  <c r="J104" i="10"/>
  <c r="L104" i="10" s="1"/>
  <c r="J103" i="10"/>
  <c r="L103" i="10" s="1"/>
  <c r="J102" i="10"/>
  <c r="J101" i="10"/>
  <c r="L101" i="10" s="1"/>
  <c r="J100" i="10"/>
  <c r="L100" i="10" s="1"/>
  <c r="J99" i="10"/>
  <c r="L99" i="10" s="1"/>
  <c r="J98" i="10"/>
  <c r="J97" i="10"/>
  <c r="L97" i="10" s="1"/>
  <c r="K96" i="10"/>
  <c r="I96" i="10"/>
  <c r="H96" i="10"/>
  <c r="H113" i="10" s="1"/>
  <c r="G96" i="10"/>
  <c r="F96" i="10"/>
  <c r="D96" i="10"/>
  <c r="J95" i="10"/>
  <c r="L95" i="10" s="1"/>
  <c r="J94" i="10"/>
  <c r="L94" i="10" s="1"/>
  <c r="J93" i="10"/>
  <c r="L93" i="10" s="1"/>
  <c r="J92" i="10"/>
  <c r="L92" i="10" s="1"/>
  <c r="J91" i="10"/>
  <c r="L91" i="10" s="1"/>
  <c r="J90" i="10"/>
  <c r="L90" i="10" s="1"/>
  <c r="J89" i="10"/>
  <c r="J87" i="10"/>
  <c r="L87" i="10" s="1"/>
  <c r="J86" i="10"/>
  <c r="L86" i="10" s="1"/>
  <c r="J85" i="10"/>
  <c r="L85" i="10" s="1"/>
  <c r="J84" i="10"/>
  <c r="L84" i="10" s="1"/>
  <c r="J83" i="10"/>
  <c r="L83" i="10" s="1"/>
  <c r="J82" i="10"/>
  <c r="L82" i="10" s="1"/>
  <c r="J81" i="10"/>
  <c r="L81" i="10" s="1"/>
  <c r="J80" i="10"/>
  <c r="L80" i="10" s="1"/>
  <c r="K79" i="10"/>
  <c r="I79" i="10"/>
  <c r="H79" i="10"/>
  <c r="G79" i="10"/>
  <c r="F79" i="10"/>
  <c r="D79" i="10"/>
  <c r="J78" i="10"/>
  <c r="L78" i="10" s="1"/>
  <c r="J77" i="10"/>
  <c r="K76" i="10"/>
  <c r="I76" i="10"/>
  <c r="H76" i="10"/>
  <c r="G76" i="10"/>
  <c r="F76" i="10"/>
  <c r="D76" i="10"/>
  <c r="J75" i="10"/>
  <c r="L75" i="10" s="1"/>
  <c r="J74" i="10"/>
  <c r="L74" i="10" s="1"/>
  <c r="J73" i="10"/>
  <c r="L73" i="10" s="1"/>
  <c r="J72" i="10"/>
  <c r="L72" i="10" s="1"/>
  <c r="J71" i="10"/>
  <c r="L71" i="10" s="1"/>
  <c r="J70" i="10"/>
  <c r="L70" i="10" s="1"/>
  <c r="J69" i="10"/>
  <c r="L69" i="10" s="1"/>
  <c r="J68" i="10"/>
  <c r="L68" i="10" s="1"/>
  <c r="J67" i="10"/>
  <c r="L67" i="10" s="1"/>
  <c r="J66" i="10"/>
  <c r="L66" i="10" s="1"/>
  <c r="J65" i="10"/>
  <c r="L65" i="10" s="1"/>
  <c r="J64" i="10"/>
  <c r="L64" i="10" s="1"/>
  <c r="J63" i="10"/>
  <c r="J62" i="10"/>
  <c r="L62" i="10" s="1"/>
  <c r="K61" i="10"/>
  <c r="I61" i="10"/>
  <c r="H61" i="10"/>
  <c r="G61" i="10"/>
  <c r="F61" i="10"/>
  <c r="D61" i="10"/>
  <c r="J60" i="10"/>
  <c r="L60" i="10" s="1"/>
  <c r="J59" i="10"/>
  <c r="L59" i="10" s="1"/>
  <c r="J58" i="10"/>
  <c r="L58" i="10" s="1"/>
  <c r="J57" i="10"/>
  <c r="L57" i="10" s="1"/>
  <c r="J56" i="10"/>
  <c r="L56" i="10" s="1"/>
  <c r="J55" i="10"/>
  <c r="L55" i="10" s="1"/>
  <c r="J54" i="10"/>
  <c r="J240" i="10" s="1"/>
  <c r="J53" i="10"/>
  <c r="J239" i="10" s="1"/>
  <c r="J52" i="10"/>
  <c r="K51" i="10"/>
  <c r="I51" i="10"/>
  <c r="H51" i="10"/>
  <c r="G51" i="10"/>
  <c r="F51" i="10"/>
  <c r="D51" i="10"/>
  <c r="J50" i="10"/>
  <c r="L50" i="10" s="1"/>
  <c r="J49" i="10"/>
  <c r="K48" i="10"/>
  <c r="I48" i="10"/>
  <c r="H48" i="10"/>
  <c r="G48" i="10"/>
  <c r="F48" i="10"/>
  <c r="E263" i="10"/>
  <c r="D48" i="10"/>
  <c r="J47" i="10"/>
  <c r="L47" i="10" s="1"/>
  <c r="J46" i="10"/>
  <c r="L46" i="10" s="1"/>
  <c r="J45" i="10"/>
  <c r="L45" i="10" s="1"/>
  <c r="J44" i="10"/>
  <c r="L44" i="10" s="1"/>
  <c r="J43" i="10"/>
  <c r="L43" i="10" s="1"/>
  <c r="J42" i="10"/>
  <c r="L42" i="10" s="1"/>
  <c r="J41" i="10"/>
  <c r="J256" i="10" s="1"/>
  <c r="J40" i="10"/>
  <c r="L40" i="10" s="1"/>
  <c r="J39" i="10"/>
  <c r="L39" i="10" s="1"/>
  <c r="J38" i="10"/>
  <c r="L38" i="10" s="1"/>
  <c r="J37" i="10"/>
  <c r="L37" i="10" s="1"/>
  <c r="J36" i="10"/>
  <c r="L36" i="10" s="1"/>
  <c r="J35" i="10"/>
  <c r="L35" i="10" s="1"/>
  <c r="J34" i="10"/>
  <c r="J33" i="10"/>
  <c r="L33" i="10" s="1"/>
  <c r="K32" i="10"/>
  <c r="I32" i="10"/>
  <c r="H32" i="10"/>
  <c r="G32" i="10"/>
  <c r="E32" i="10"/>
  <c r="E247" i="10" s="1"/>
  <c r="D32" i="10"/>
  <c r="J31" i="10"/>
  <c r="L31" i="10" s="1"/>
  <c r="J30" i="10"/>
  <c r="L30" i="10" s="1"/>
  <c r="F245" i="10"/>
  <c r="J29" i="10"/>
  <c r="L29" i="10" s="1"/>
  <c r="J28" i="10"/>
  <c r="L28" i="10" s="1"/>
  <c r="J27" i="10"/>
  <c r="L27" i="10" s="1"/>
  <c r="J26" i="10"/>
  <c r="L26" i="10" s="1"/>
  <c r="F238" i="10"/>
  <c r="K24" i="10"/>
  <c r="K237" i="10" s="1"/>
  <c r="I24" i="10"/>
  <c r="I237" i="10" s="1"/>
  <c r="H24" i="10"/>
  <c r="H237" i="10" s="1"/>
  <c r="G24" i="10"/>
  <c r="G237" i="10" s="1"/>
  <c r="F24" i="10"/>
  <c r="F237" i="10" s="1"/>
  <c r="E24" i="10"/>
  <c r="E237" i="10" s="1"/>
  <c r="D24" i="10"/>
  <c r="D237" i="10" s="1"/>
  <c r="J23" i="10"/>
  <c r="L23" i="10" s="1"/>
  <c r="J22" i="10"/>
  <c r="L22" i="10" s="1"/>
  <c r="J21" i="10"/>
  <c r="L21" i="10" s="1"/>
  <c r="J20" i="10"/>
  <c r="L20" i="10" s="1"/>
  <c r="J19" i="10"/>
  <c r="L19" i="10" s="1"/>
  <c r="J18" i="10"/>
  <c r="L18" i="10" s="1"/>
  <c r="J17" i="10"/>
  <c r="L17" i="10" s="1"/>
  <c r="J16" i="10"/>
  <c r="L16" i="10" s="1"/>
  <c r="J15" i="10"/>
  <c r="L15" i="10" s="1"/>
  <c r="J14" i="10"/>
  <c r="L14" i="10" s="1"/>
  <c r="J13" i="10"/>
  <c r="L13" i="10" s="1"/>
  <c r="J12" i="10"/>
  <c r="L12" i="10" s="1"/>
  <c r="J11" i="10"/>
  <c r="L11" i="10" s="1"/>
  <c r="J10" i="10"/>
  <c r="J9" i="10"/>
  <c r="J232" i="10" s="1"/>
  <c r="J8" i="10"/>
  <c r="J231" i="10" s="1"/>
  <c r="J7" i="10"/>
  <c r="J230" i="10" s="1"/>
  <c r="J6" i="10"/>
  <c r="J5" i="10"/>
  <c r="D135" i="10" l="1"/>
  <c r="H156" i="10"/>
  <c r="D198" i="10"/>
  <c r="I198" i="10"/>
  <c r="M76" i="11"/>
  <c r="H135" i="10"/>
  <c r="G156" i="10"/>
  <c r="H198" i="10"/>
  <c r="K263" i="11"/>
  <c r="D156" i="10"/>
  <c r="I156" i="10"/>
  <c r="F348" i="11"/>
  <c r="F352" i="11" s="1"/>
  <c r="F323" i="11"/>
  <c r="D113" i="10"/>
  <c r="I113" i="10"/>
  <c r="G88" i="10"/>
  <c r="I88" i="10"/>
  <c r="G198" i="10"/>
  <c r="D88" i="10"/>
  <c r="L41" i="10"/>
  <c r="J120" i="10"/>
  <c r="G135" i="10"/>
  <c r="J143" i="10"/>
  <c r="F156" i="10"/>
  <c r="K156" i="10"/>
  <c r="J163" i="10"/>
  <c r="F198" i="10"/>
  <c r="K198" i="10"/>
  <c r="J196" i="10"/>
  <c r="J215" i="10"/>
  <c r="J234" i="10"/>
  <c r="H88" i="10"/>
  <c r="J48" i="10"/>
  <c r="J51" i="10"/>
  <c r="J61" i="10"/>
  <c r="G113" i="10"/>
  <c r="I135" i="10"/>
  <c r="J153" i="10"/>
  <c r="J76" i="10"/>
  <c r="J249" i="10"/>
  <c r="L213" i="10"/>
  <c r="L215" i="10" s="1"/>
  <c r="J229" i="10"/>
  <c r="J260" i="10"/>
  <c r="J79" i="10"/>
  <c r="K135" i="10"/>
  <c r="K113" i="10"/>
  <c r="K88" i="10"/>
  <c r="F113" i="10"/>
  <c r="F135" i="10"/>
  <c r="J130" i="10"/>
  <c r="J174" i="10"/>
  <c r="J205" i="10"/>
  <c r="J218" i="10" s="1"/>
  <c r="L182" i="10"/>
  <c r="L197" i="10"/>
  <c r="L165" i="10"/>
  <c r="L174" i="10" s="1"/>
  <c r="L114" i="10"/>
  <c r="L120" i="10" s="1"/>
  <c r="L122" i="10"/>
  <c r="L130" i="10" s="1"/>
  <c r="L34" i="10"/>
  <c r="J228" i="10"/>
  <c r="L5" i="10"/>
  <c r="L6" i="10"/>
  <c r="L7" i="10"/>
  <c r="L8" i="10"/>
  <c r="L9" i="10"/>
  <c r="L10" i="10"/>
  <c r="J235" i="10"/>
  <c r="J233" i="10"/>
  <c r="J236" i="10"/>
  <c r="J24" i="10"/>
  <c r="J237" i="10" s="1"/>
  <c r="J25" i="10"/>
  <c r="J238" i="10" s="1"/>
  <c r="L49" i="10"/>
  <c r="L51" i="10" s="1"/>
  <c r="L52" i="10"/>
  <c r="L53" i="10"/>
  <c r="L54" i="10"/>
  <c r="L63" i="10"/>
  <c r="L76" i="10" s="1"/>
  <c r="L77" i="10"/>
  <c r="L79" i="10" s="1"/>
  <c r="E88" i="10"/>
  <c r="E219" i="10" s="1"/>
  <c r="E268" i="10" s="1"/>
  <c r="J96" i="10"/>
  <c r="L89" i="10"/>
  <c r="L96" i="10" s="1"/>
  <c r="J108" i="10"/>
  <c r="L98" i="10"/>
  <c r="F32" i="10"/>
  <c r="F88" i="10" s="1"/>
  <c r="J253" i="10"/>
  <c r="L157" i="10"/>
  <c r="L163" i="10" s="1"/>
  <c r="J254" i="10"/>
  <c r="L185" i="10"/>
  <c r="J258" i="10"/>
  <c r="L187" i="10"/>
  <c r="J265" i="10"/>
  <c r="F267" i="10"/>
  <c r="H267" i="10"/>
  <c r="K267" i="10"/>
  <c r="J242" i="10"/>
  <c r="J243" i="10"/>
  <c r="J244" i="10"/>
  <c r="J245" i="10"/>
  <c r="D247" i="10"/>
  <c r="G247" i="10"/>
  <c r="I247" i="10"/>
  <c r="J248" i="10"/>
  <c r="J252" i="10"/>
  <c r="J259" i="10"/>
  <c r="J261" i="10"/>
  <c r="J262" i="10"/>
  <c r="D263" i="10"/>
  <c r="G263" i="10"/>
  <c r="I263" i="10"/>
  <c r="L102" i="10"/>
  <c r="L136" i="10"/>
  <c r="L143" i="10" s="1"/>
  <c r="L145" i="10"/>
  <c r="L153" i="10" s="1"/>
  <c r="J246" i="10"/>
  <c r="J251" i="10"/>
  <c r="J255" i="10"/>
  <c r="J182" i="10"/>
  <c r="J250" i="10"/>
  <c r="J192" i="10"/>
  <c r="L184" i="10"/>
  <c r="J257" i="10"/>
  <c r="L186" i="10"/>
  <c r="J266" i="10"/>
  <c r="D267" i="10"/>
  <c r="G267" i="10"/>
  <c r="I267" i="10"/>
  <c r="H247" i="10"/>
  <c r="K247" i="10"/>
  <c r="F263" i="10"/>
  <c r="H263" i="10"/>
  <c r="K263" i="10"/>
  <c r="L193" i="10"/>
  <c r="L194" i="10"/>
  <c r="D218" i="10"/>
  <c r="F218" i="10"/>
  <c r="H218" i="10"/>
  <c r="J241" i="10"/>
  <c r="L199" i="10"/>
  <c r="L205" i="10" s="1"/>
  <c r="G218" i="10"/>
  <c r="I218" i="10"/>
  <c r="K218" i="10"/>
  <c r="F30" i="9"/>
  <c r="F25" i="9"/>
  <c r="J179" i="10" l="1"/>
  <c r="K30" i="11"/>
  <c r="F245" i="11"/>
  <c r="J135" i="10"/>
  <c r="F32" i="11"/>
  <c r="K25" i="11"/>
  <c r="I219" i="10"/>
  <c r="I268" i="10" s="1"/>
  <c r="L48" i="10"/>
  <c r="L218" i="10"/>
  <c r="L179" i="10"/>
  <c r="D219" i="10"/>
  <c r="D268" i="10" s="1"/>
  <c r="J267" i="10"/>
  <c r="K219" i="10"/>
  <c r="K268" i="10" s="1"/>
  <c r="J156" i="10"/>
  <c r="H219" i="10"/>
  <c r="H268" i="10" s="1"/>
  <c r="G219" i="10"/>
  <c r="G268" i="10" s="1"/>
  <c r="L196" i="10"/>
  <c r="J263" i="10"/>
  <c r="L135" i="10"/>
  <c r="F247" i="10"/>
  <c r="L24" i="10"/>
  <c r="J198" i="10"/>
  <c r="L156" i="10"/>
  <c r="J113" i="10"/>
  <c r="L61" i="10"/>
  <c r="J32" i="10"/>
  <c r="J88" i="10" s="1"/>
  <c r="L25" i="10"/>
  <c r="L32" i="10" s="1"/>
  <c r="L192" i="10"/>
  <c r="F219" i="10"/>
  <c r="F268" i="10" s="1"/>
  <c r="L108" i="10"/>
  <c r="L113" i="10" s="1"/>
  <c r="E217" i="9"/>
  <c r="E198" i="9"/>
  <c r="E179" i="9"/>
  <c r="E156" i="9"/>
  <c r="E135" i="9"/>
  <c r="E113" i="9"/>
  <c r="J213" i="9"/>
  <c r="L213" i="9" s="1"/>
  <c r="J209" i="9"/>
  <c r="L209" i="9" s="1"/>
  <c r="E243" i="9"/>
  <c r="E263" i="9"/>
  <c r="J195" i="9"/>
  <c r="L195" i="9" s="1"/>
  <c r="J171" i="9"/>
  <c r="L171" i="9" s="1"/>
  <c r="J161" i="9"/>
  <c r="L161" i="9" s="1"/>
  <c r="J159" i="9"/>
  <c r="L159" i="9" s="1"/>
  <c r="E237" i="9"/>
  <c r="J151" i="9"/>
  <c r="L151" i="9" s="1"/>
  <c r="J147" i="9"/>
  <c r="J145" i="9"/>
  <c r="L145" i="9" s="1"/>
  <c r="J129" i="9"/>
  <c r="L129" i="9" s="1"/>
  <c r="J127" i="9"/>
  <c r="L127" i="9" s="1"/>
  <c r="J125" i="9"/>
  <c r="L125" i="9" s="1"/>
  <c r="E249" i="9"/>
  <c r="J121" i="9"/>
  <c r="L121" i="9" s="1"/>
  <c r="E251" i="9"/>
  <c r="J84" i="9"/>
  <c r="L84" i="9" s="1"/>
  <c r="J82" i="9"/>
  <c r="L82" i="9" s="1"/>
  <c r="J80" i="9"/>
  <c r="L80" i="9" s="1"/>
  <c r="J74" i="9"/>
  <c r="L74" i="9" s="1"/>
  <c r="E253" i="9"/>
  <c r="E245" i="9"/>
  <c r="J58" i="9"/>
  <c r="L58" i="9" s="1"/>
  <c r="E241" i="9"/>
  <c r="J54" i="9"/>
  <c r="E32" i="9"/>
  <c r="E48" i="9"/>
  <c r="J49" i="9"/>
  <c r="E242" i="9"/>
  <c r="J22" i="9"/>
  <c r="L22" i="9" s="1"/>
  <c r="J20" i="9"/>
  <c r="L20" i="9" s="1"/>
  <c r="J18" i="9"/>
  <c r="L18" i="9" s="1"/>
  <c r="J16" i="9"/>
  <c r="L16" i="9" s="1"/>
  <c r="E227" i="9"/>
  <c r="J12" i="9"/>
  <c r="L12" i="9" s="1"/>
  <c r="E233" i="9"/>
  <c r="J8" i="9"/>
  <c r="J230" i="9" s="1"/>
  <c r="J6" i="9"/>
  <c r="K265" i="9"/>
  <c r="I265" i="9"/>
  <c r="H265" i="9"/>
  <c r="G265" i="9"/>
  <c r="F265" i="9"/>
  <c r="E265" i="9"/>
  <c r="D265" i="9"/>
  <c r="K264" i="9"/>
  <c r="I264" i="9"/>
  <c r="H264" i="9"/>
  <c r="G264" i="9"/>
  <c r="F264" i="9"/>
  <c r="E264" i="9"/>
  <c r="D264" i="9"/>
  <c r="K263" i="9"/>
  <c r="I263" i="9"/>
  <c r="H263" i="9"/>
  <c r="G263" i="9"/>
  <c r="F263" i="9"/>
  <c r="D263" i="9"/>
  <c r="K261" i="9"/>
  <c r="I261" i="9"/>
  <c r="H261" i="9"/>
  <c r="G261" i="9"/>
  <c r="F261" i="9"/>
  <c r="D261" i="9"/>
  <c r="K260" i="9"/>
  <c r="I260" i="9"/>
  <c r="H260" i="9"/>
  <c r="G260" i="9"/>
  <c r="F260" i="9"/>
  <c r="D260" i="9"/>
  <c r="K259" i="9"/>
  <c r="I259" i="9"/>
  <c r="H259" i="9"/>
  <c r="G259" i="9"/>
  <c r="F259" i="9"/>
  <c r="E259" i="9"/>
  <c r="D259" i="9"/>
  <c r="K258" i="9"/>
  <c r="I258" i="9"/>
  <c r="H258" i="9"/>
  <c r="G258" i="9"/>
  <c r="F258" i="9"/>
  <c r="D258" i="9"/>
  <c r="K257" i="9"/>
  <c r="I257" i="9"/>
  <c r="H257" i="9"/>
  <c r="G257" i="9"/>
  <c r="F257" i="9"/>
  <c r="D257" i="9"/>
  <c r="K256" i="9"/>
  <c r="I256" i="9"/>
  <c r="H256" i="9"/>
  <c r="G256" i="9"/>
  <c r="F256" i="9"/>
  <c r="D256" i="9"/>
  <c r="K255" i="9"/>
  <c r="I255" i="9"/>
  <c r="H255" i="9"/>
  <c r="G255" i="9"/>
  <c r="F255" i="9"/>
  <c r="E255" i="9"/>
  <c r="D255" i="9"/>
  <c r="K254" i="9"/>
  <c r="I254" i="9"/>
  <c r="H254" i="9"/>
  <c r="G254" i="9"/>
  <c r="F254" i="9"/>
  <c r="D254" i="9"/>
  <c r="K253" i="9"/>
  <c r="I253" i="9"/>
  <c r="H253" i="9"/>
  <c r="G253" i="9"/>
  <c r="F253" i="9"/>
  <c r="D253" i="9"/>
  <c r="K252" i="9"/>
  <c r="I252" i="9"/>
  <c r="H252" i="9"/>
  <c r="G252" i="9"/>
  <c r="F252" i="9"/>
  <c r="E252" i="9"/>
  <c r="D252" i="9"/>
  <c r="K251" i="9"/>
  <c r="I251" i="9"/>
  <c r="H251" i="9"/>
  <c r="G251" i="9"/>
  <c r="F251" i="9"/>
  <c r="D251" i="9"/>
  <c r="K250" i="9"/>
  <c r="I250" i="9"/>
  <c r="H250" i="9"/>
  <c r="G250" i="9"/>
  <c r="F250" i="9"/>
  <c r="D250" i="9"/>
  <c r="K249" i="9"/>
  <c r="I249" i="9"/>
  <c r="H249" i="9"/>
  <c r="G249" i="9"/>
  <c r="F249" i="9"/>
  <c r="D249" i="9"/>
  <c r="K248" i="9"/>
  <c r="I248" i="9"/>
  <c r="H248" i="9"/>
  <c r="G248" i="9"/>
  <c r="F248" i="9"/>
  <c r="E248" i="9"/>
  <c r="D248" i="9"/>
  <c r="K247" i="9"/>
  <c r="I247" i="9"/>
  <c r="H247" i="9"/>
  <c r="G247" i="9"/>
  <c r="F247" i="9"/>
  <c r="D247" i="9"/>
  <c r="K245" i="9"/>
  <c r="I245" i="9"/>
  <c r="H245" i="9"/>
  <c r="G245" i="9"/>
  <c r="F245" i="9"/>
  <c r="D245" i="9"/>
  <c r="K244" i="9"/>
  <c r="I244" i="9"/>
  <c r="H244" i="9"/>
  <c r="G244" i="9"/>
  <c r="F244" i="9"/>
  <c r="D244" i="9"/>
  <c r="K243" i="9"/>
  <c r="I243" i="9"/>
  <c r="H243" i="9"/>
  <c r="G243" i="9"/>
  <c r="F243" i="9"/>
  <c r="D243" i="9"/>
  <c r="K242" i="9"/>
  <c r="I242" i="9"/>
  <c r="H242" i="9"/>
  <c r="G242" i="9"/>
  <c r="F242" i="9"/>
  <c r="D242" i="9"/>
  <c r="K241" i="9"/>
  <c r="I241" i="9"/>
  <c r="H241" i="9"/>
  <c r="G241" i="9"/>
  <c r="F241" i="9"/>
  <c r="D241" i="9"/>
  <c r="K240" i="9"/>
  <c r="I240" i="9"/>
  <c r="H240" i="9"/>
  <c r="G240" i="9"/>
  <c r="F240" i="9"/>
  <c r="D240" i="9"/>
  <c r="K239" i="9"/>
  <c r="I239" i="9"/>
  <c r="H239" i="9"/>
  <c r="G239" i="9"/>
  <c r="F239" i="9"/>
  <c r="E239" i="9"/>
  <c r="D239" i="9"/>
  <c r="K238" i="9"/>
  <c r="I238" i="9"/>
  <c r="H238" i="9"/>
  <c r="G238" i="9"/>
  <c r="F238" i="9"/>
  <c r="E238" i="9"/>
  <c r="D238" i="9"/>
  <c r="K237" i="9"/>
  <c r="I237" i="9"/>
  <c r="H237" i="9"/>
  <c r="G237" i="9"/>
  <c r="F237" i="9"/>
  <c r="D237" i="9"/>
  <c r="K235" i="9"/>
  <c r="I235" i="9"/>
  <c r="H235" i="9"/>
  <c r="G235" i="9"/>
  <c r="F235" i="9"/>
  <c r="E235" i="9"/>
  <c r="D235" i="9"/>
  <c r="K234" i="9"/>
  <c r="I234" i="9"/>
  <c r="H234" i="9"/>
  <c r="G234" i="9"/>
  <c r="E234" i="9"/>
  <c r="D234" i="9"/>
  <c r="K233" i="9"/>
  <c r="I233" i="9"/>
  <c r="H233" i="9"/>
  <c r="G233" i="9"/>
  <c r="F233" i="9"/>
  <c r="D233" i="9"/>
  <c r="K232" i="9"/>
  <c r="I232" i="9"/>
  <c r="H232" i="9"/>
  <c r="G232" i="9"/>
  <c r="E232" i="9"/>
  <c r="D232" i="9"/>
  <c r="K231" i="9"/>
  <c r="I231" i="9"/>
  <c r="H231" i="9"/>
  <c r="G231" i="9"/>
  <c r="E231" i="9"/>
  <c r="D231" i="9"/>
  <c r="K230" i="9"/>
  <c r="I230" i="9"/>
  <c r="H230" i="9"/>
  <c r="G230" i="9"/>
  <c r="F230" i="9"/>
  <c r="E230" i="9"/>
  <c r="D230" i="9"/>
  <c r="K229" i="9"/>
  <c r="I229" i="9"/>
  <c r="H229" i="9"/>
  <c r="G229" i="9"/>
  <c r="F229" i="9"/>
  <c r="E229" i="9"/>
  <c r="D229" i="9"/>
  <c r="K228" i="9"/>
  <c r="I228" i="9"/>
  <c r="H228" i="9"/>
  <c r="G228" i="9"/>
  <c r="F228" i="9"/>
  <c r="E228" i="9"/>
  <c r="D228" i="9"/>
  <c r="K227" i="9"/>
  <c r="I227" i="9"/>
  <c r="H227" i="9"/>
  <c r="G227" i="9"/>
  <c r="F227" i="9"/>
  <c r="D227" i="9"/>
  <c r="J216" i="9"/>
  <c r="L216" i="9" s="1"/>
  <c r="J215" i="9"/>
  <c r="L215" i="9" s="1"/>
  <c r="K214" i="9"/>
  <c r="I214" i="9"/>
  <c r="H214" i="9"/>
  <c r="G214" i="9"/>
  <c r="F214" i="9"/>
  <c r="D214" i="9"/>
  <c r="J212" i="9"/>
  <c r="L212" i="9" s="1"/>
  <c r="J210" i="9"/>
  <c r="L210" i="9" s="1"/>
  <c r="J208" i="9"/>
  <c r="L208" i="9" s="1"/>
  <c r="J206" i="9"/>
  <c r="L206" i="9" s="1"/>
  <c r="K205" i="9"/>
  <c r="I205" i="9"/>
  <c r="H205" i="9"/>
  <c r="G205" i="9"/>
  <c r="G217" i="9" s="1"/>
  <c r="F205" i="9"/>
  <c r="D205" i="9"/>
  <c r="J204" i="9"/>
  <c r="L204" i="9" s="1"/>
  <c r="J203" i="9"/>
  <c r="L203" i="9" s="1"/>
  <c r="J202" i="9"/>
  <c r="L202" i="9" s="1"/>
  <c r="J201" i="9"/>
  <c r="L201" i="9" s="1"/>
  <c r="J200" i="9"/>
  <c r="L200" i="9" s="1"/>
  <c r="J199" i="9"/>
  <c r="J197" i="9"/>
  <c r="L197" i="9" s="1"/>
  <c r="K196" i="9"/>
  <c r="I196" i="9"/>
  <c r="H196" i="9"/>
  <c r="G196" i="9"/>
  <c r="F196" i="9"/>
  <c r="D196" i="9"/>
  <c r="J194" i="9"/>
  <c r="L194" i="9" s="1"/>
  <c r="K192" i="9"/>
  <c r="I192" i="9"/>
  <c r="H192" i="9"/>
  <c r="G192" i="9"/>
  <c r="F192" i="9"/>
  <c r="D192" i="9"/>
  <c r="J191" i="9"/>
  <c r="L191" i="9" s="1"/>
  <c r="J190" i="9"/>
  <c r="L190" i="9" s="1"/>
  <c r="J189" i="9"/>
  <c r="L189" i="9" s="1"/>
  <c r="J188" i="9"/>
  <c r="L188" i="9" s="1"/>
  <c r="J187" i="9"/>
  <c r="L187" i="9" s="1"/>
  <c r="J186" i="9"/>
  <c r="L186" i="9" s="1"/>
  <c r="J185" i="9"/>
  <c r="L185" i="9" s="1"/>
  <c r="J184" i="9"/>
  <c r="J183" i="9"/>
  <c r="L183" i="9" s="1"/>
  <c r="K182" i="9"/>
  <c r="I182" i="9"/>
  <c r="H182" i="9"/>
  <c r="G182" i="9"/>
  <c r="F182" i="9"/>
  <c r="D182" i="9"/>
  <c r="J181" i="9"/>
  <c r="L181" i="9" s="1"/>
  <c r="J180" i="9"/>
  <c r="L180" i="9" s="1"/>
  <c r="J178" i="9"/>
  <c r="L178" i="9" s="1"/>
  <c r="J177" i="9"/>
  <c r="L177" i="9" s="1"/>
  <c r="J176" i="9"/>
  <c r="L176" i="9" s="1"/>
  <c r="J175" i="9"/>
  <c r="L175" i="9" s="1"/>
  <c r="K174" i="9"/>
  <c r="I174" i="9"/>
  <c r="H174" i="9"/>
  <c r="G174" i="9"/>
  <c r="F174" i="9"/>
  <c r="D174" i="9"/>
  <c r="J172" i="9"/>
  <c r="L172" i="9" s="1"/>
  <c r="J170" i="9"/>
  <c r="L170" i="9" s="1"/>
  <c r="J168" i="9"/>
  <c r="L168" i="9" s="1"/>
  <c r="J166" i="9"/>
  <c r="L166" i="9" s="1"/>
  <c r="J164" i="9"/>
  <c r="L164" i="9" s="1"/>
  <c r="K163" i="9"/>
  <c r="I163" i="9"/>
  <c r="H163" i="9"/>
  <c r="G163" i="9"/>
  <c r="F163" i="9"/>
  <c r="D163" i="9"/>
  <c r="J162" i="9"/>
  <c r="L162" i="9" s="1"/>
  <c r="J160" i="9"/>
  <c r="L160" i="9" s="1"/>
  <c r="J158" i="9"/>
  <c r="L158" i="9" s="1"/>
  <c r="J155" i="9"/>
  <c r="L155" i="9" s="1"/>
  <c r="J154" i="9"/>
  <c r="L154" i="9" s="1"/>
  <c r="K153" i="9"/>
  <c r="I153" i="9"/>
  <c r="H153" i="9"/>
  <c r="G153" i="9"/>
  <c r="F153" i="9"/>
  <c r="D153" i="9"/>
  <c r="J152" i="9"/>
  <c r="L152" i="9" s="1"/>
  <c r="J150" i="9"/>
  <c r="L150" i="9" s="1"/>
  <c r="J148" i="9"/>
  <c r="L148" i="9" s="1"/>
  <c r="L147" i="9"/>
  <c r="J146" i="9"/>
  <c r="L146" i="9" s="1"/>
  <c r="J144" i="9"/>
  <c r="L144" i="9" s="1"/>
  <c r="K143" i="9"/>
  <c r="I143" i="9"/>
  <c r="I156" i="9" s="1"/>
  <c r="H143" i="9"/>
  <c r="H156" i="9" s="1"/>
  <c r="G143" i="9"/>
  <c r="G156" i="9" s="1"/>
  <c r="F143" i="9"/>
  <c r="D143" i="9"/>
  <c r="D156" i="9" s="1"/>
  <c r="J142" i="9"/>
  <c r="L142" i="9" s="1"/>
  <c r="J141" i="9"/>
  <c r="L141" i="9" s="1"/>
  <c r="J140" i="9"/>
  <c r="L140" i="9" s="1"/>
  <c r="J139" i="9"/>
  <c r="L139" i="9" s="1"/>
  <c r="J138" i="9"/>
  <c r="L138" i="9" s="1"/>
  <c r="J137" i="9"/>
  <c r="L137" i="9" s="1"/>
  <c r="J136" i="9"/>
  <c r="J134" i="9"/>
  <c r="L134" i="9" s="1"/>
  <c r="J133" i="9"/>
  <c r="L133" i="9" s="1"/>
  <c r="J132" i="9"/>
  <c r="L132" i="9" s="1"/>
  <c r="J131" i="9"/>
  <c r="L131" i="9" s="1"/>
  <c r="K130" i="9"/>
  <c r="I130" i="9"/>
  <c r="H130" i="9"/>
  <c r="G130" i="9"/>
  <c r="F130" i="9"/>
  <c r="D130" i="9"/>
  <c r="J128" i="9"/>
  <c r="L128" i="9" s="1"/>
  <c r="J126" i="9"/>
  <c r="L126" i="9" s="1"/>
  <c r="J124" i="9"/>
  <c r="L124" i="9" s="1"/>
  <c r="J122" i="9"/>
  <c r="L122" i="9" s="1"/>
  <c r="K120" i="9"/>
  <c r="I120" i="9"/>
  <c r="H120" i="9"/>
  <c r="G120" i="9"/>
  <c r="G135" i="9" s="1"/>
  <c r="F120" i="9"/>
  <c r="D120" i="9"/>
  <c r="J119" i="9"/>
  <c r="L119" i="9" s="1"/>
  <c r="J118" i="9"/>
  <c r="L118" i="9" s="1"/>
  <c r="J117" i="9"/>
  <c r="L117" i="9" s="1"/>
  <c r="J116" i="9"/>
  <c r="L116" i="9" s="1"/>
  <c r="J115" i="9"/>
  <c r="L115" i="9" s="1"/>
  <c r="J114" i="9"/>
  <c r="J112" i="9"/>
  <c r="L112" i="9" s="1"/>
  <c r="J111" i="9"/>
  <c r="L111" i="9" s="1"/>
  <c r="J110" i="9"/>
  <c r="L110" i="9" s="1"/>
  <c r="J109" i="9"/>
  <c r="L109" i="9" s="1"/>
  <c r="K108" i="9"/>
  <c r="I108" i="9"/>
  <c r="H108" i="9"/>
  <c r="G108" i="9"/>
  <c r="F108" i="9"/>
  <c r="D108" i="9"/>
  <c r="J107" i="9"/>
  <c r="L107" i="9" s="1"/>
  <c r="J106" i="9"/>
  <c r="L106" i="9" s="1"/>
  <c r="J105" i="9"/>
  <c r="L105" i="9" s="1"/>
  <c r="J104" i="9"/>
  <c r="L104" i="9" s="1"/>
  <c r="J103" i="9"/>
  <c r="L103" i="9" s="1"/>
  <c r="J102" i="9"/>
  <c r="L102" i="9" s="1"/>
  <c r="J101" i="9"/>
  <c r="L101" i="9" s="1"/>
  <c r="J100" i="9"/>
  <c r="L100" i="9" s="1"/>
  <c r="J99" i="9"/>
  <c r="L99" i="9" s="1"/>
  <c r="J98" i="9"/>
  <c r="L98" i="9" s="1"/>
  <c r="J97" i="9"/>
  <c r="L97" i="9" s="1"/>
  <c r="K96" i="9"/>
  <c r="I96" i="9"/>
  <c r="H96" i="9"/>
  <c r="G96" i="9"/>
  <c r="F96" i="9"/>
  <c r="D96" i="9"/>
  <c r="J95" i="9"/>
  <c r="L95" i="9" s="1"/>
  <c r="J94" i="9"/>
  <c r="L94" i="9" s="1"/>
  <c r="J93" i="9"/>
  <c r="L93" i="9" s="1"/>
  <c r="J92" i="9"/>
  <c r="L92" i="9" s="1"/>
  <c r="J91" i="9"/>
  <c r="L91" i="9" s="1"/>
  <c r="J90" i="9"/>
  <c r="L90" i="9" s="1"/>
  <c r="J89" i="9"/>
  <c r="J87" i="9"/>
  <c r="L87" i="9" s="1"/>
  <c r="J85" i="9"/>
  <c r="L85" i="9" s="1"/>
  <c r="J83" i="9"/>
  <c r="L83" i="9" s="1"/>
  <c r="J81" i="9"/>
  <c r="L81" i="9" s="1"/>
  <c r="K79" i="9"/>
  <c r="I79" i="9"/>
  <c r="H79" i="9"/>
  <c r="G79" i="9"/>
  <c r="F79" i="9"/>
  <c r="D79" i="9"/>
  <c r="J78" i="9"/>
  <c r="L78" i="9" s="1"/>
  <c r="J77" i="9"/>
  <c r="K76" i="9"/>
  <c r="I76" i="9"/>
  <c r="H76" i="9"/>
  <c r="G76" i="9"/>
  <c r="F76" i="9"/>
  <c r="D76" i="9"/>
  <c r="J75" i="9"/>
  <c r="L75" i="9" s="1"/>
  <c r="J73" i="9"/>
  <c r="L73" i="9" s="1"/>
  <c r="J72" i="9"/>
  <c r="L72" i="9" s="1"/>
  <c r="J71" i="9"/>
  <c r="L71" i="9" s="1"/>
  <c r="J70" i="9"/>
  <c r="L70" i="9" s="1"/>
  <c r="J69" i="9"/>
  <c r="L69" i="9" s="1"/>
  <c r="J68" i="9"/>
  <c r="L68" i="9" s="1"/>
  <c r="J67" i="9"/>
  <c r="L67" i="9" s="1"/>
  <c r="J66" i="9"/>
  <c r="L66" i="9" s="1"/>
  <c r="J65" i="9"/>
  <c r="L65" i="9" s="1"/>
  <c r="J64" i="9"/>
  <c r="L64" i="9" s="1"/>
  <c r="J63" i="9"/>
  <c r="L63" i="9" s="1"/>
  <c r="J62" i="9"/>
  <c r="L62" i="9" s="1"/>
  <c r="K61" i="9"/>
  <c r="I61" i="9"/>
  <c r="H61" i="9"/>
  <c r="G61" i="9"/>
  <c r="F61" i="9"/>
  <c r="D61" i="9"/>
  <c r="J59" i="9"/>
  <c r="L59" i="9" s="1"/>
  <c r="J57" i="9"/>
  <c r="L57" i="9" s="1"/>
  <c r="J55" i="9"/>
  <c r="L55" i="9" s="1"/>
  <c r="J53" i="9"/>
  <c r="J238" i="9" s="1"/>
  <c r="K51" i="9"/>
  <c r="I51" i="9"/>
  <c r="H51" i="9"/>
  <c r="G51" i="9"/>
  <c r="F51" i="9"/>
  <c r="D51" i="9"/>
  <c r="J50" i="9"/>
  <c r="L50" i="9" s="1"/>
  <c r="K48" i="9"/>
  <c r="I48" i="9"/>
  <c r="H48" i="9"/>
  <c r="G48" i="9"/>
  <c r="F48" i="9"/>
  <c r="D48" i="9"/>
  <c r="J47" i="9"/>
  <c r="L47" i="9" s="1"/>
  <c r="J46" i="9"/>
  <c r="L46" i="9" s="1"/>
  <c r="J45" i="9"/>
  <c r="L45" i="9" s="1"/>
  <c r="J44" i="9"/>
  <c r="L44" i="9" s="1"/>
  <c r="J43" i="9"/>
  <c r="J42" i="9"/>
  <c r="L42" i="9" s="1"/>
  <c r="J41" i="9"/>
  <c r="J255" i="9" s="1"/>
  <c r="J40" i="9"/>
  <c r="J39" i="9"/>
  <c r="J38" i="9"/>
  <c r="L38" i="9" s="1"/>
  <c r="J37" i="9"/>
  <c r="J36" i="9"/>
  <c r="L36" i="9" s="1"/>
  <c r="J35" i="9"/>
  <c r="J34" i="9"/>
  <c r="J33" i="9"/>
  <c r="K32" i="9"/>
  <c r="I32" i="9"/>
  <c r="H32" i="9"/>
  <c r="G32" i="9"/>
  <c r="F32" i="9"/>
  <c r="D32" i="9"/>
  <c r="J31" i="9"/>
  <c r="L31" i="9" s="1"/>
  <c r="J30" i="9"/>
  <c r="L30" i="9" s="1"/>
  <c r="J29" i="9"/>
  <c r="L29" i="9" s="1"/>
  <c r="J28" i="9"/>
  <c r="L28" i="9" s="1"/>
  <c r="J27" i="9"/>
  <c r="L27" i="9" s="1"/>
  <c r="J26" i="9"/>
  <c r="L26" i="9" s="1"/>
  <c r="J25" i="9"/>
  <c r="K24" i="9"/>
  <c r="K236" i="9" s="1"/>
  <c r="I24" i="9"/>
  <c r="I236" i="9" s="1"/>
  <c r="H24" i="9"/>
  <c r="H236" i="9" s="1"/>
  <c r="G24" i="9"/>
  <c r="G236" i="9" s="1"/>
  <c r="E24" i="9"/>
  <c r="E236" i="9" s="1"/>
  <c r="D24" i="9"/>
  <c r="D236" i="9" s="1"/>
  <c r="J23" i="9"/>
  <c r="J21" i="9"/>
  <c r="L21" i="9" s="1"/>
  <c r="J19" i="9"/>
  <c r="L19" i="9" s="1"/>
  <c r="J17" i="9"/>
  <c r="L17" i="9" s="1"/>
  <c r="J15" i="9"/>
  <c r="L15" i="9" s="1"/>
  <c r="J13" i="9"/>
  <c r="J11" i="9"/>
  <c r="L11" i="9" s="1"/>
  <c r="F234" i="9"/>
  <c r="F231" i="9"/>
  <c r="J7" i="9"/>
  <c r="J229" i="9" s="1"/>
  <c r="J5" i="9"/>
  <c r="F217" i="9" l="1"/>
  <c r="D135" i="9"/>
  <c r="I135" i="9"/>
  <c r="D217" i="9"/>
  <c r="I217" i="9"/>
  <c r="K32" i="11"/>
  <c r="M25" i="11"/>
  <c r="K238" i="11"/>
  <c r="F247" i="11"/>
  <c r="F88" i="11"/>
  <c r="F219" i="11" s="1"/>
  <c r="F268" i="11" s="1"/>
  <c r="M30" i="11"/>
  <c r="K245" i="11"/>
  <c r="H113" i="9"/>
  <c r="F198" i="9"/>
  <c r="E88" i="9"/>
  <c r="H135" i="9"/>
  <c r="L88" i="10"/>
  <c r="H198" i="9"/>
  <c r="J219" i="10"/>
  <c r="J268" i="10" s="1"/>
  <c r="L198" i="10"/>
  <c r="J247" i="10"/>
  <c r="G88" i="9"/>
  <c r="D113" i="9"/>
  <c r="G113" i="9"/>
  <c r="I113" i="9"/>
  <c r="F113" i="9"/>
  <c r="H179" i="9"/>
  <c r="G179" i="9"/>
  <c r="I179" i="9"/>
  <c r="D198" i="9"/>
  <c r="G198" i="9"/>
  <c r="I198" i="9"/>
  <c r="F135" i="9"/>
  <c r="H246" i="9"/>
  <c r="H262" i="9"/>
  <c r="H217" i="9"/>
  <c r="F88" i="9"/>
  <c r="H88" i="9"/>
  <c r="L53" i="9"/>
  <c r="D262" i="9"/>
  <c r="I88" i="9"/>
  <c r="D266" i="9"/>
  <c r="F156" i="9"/>
  <c r="D179" i="9"/>
  <c r="F179" i="9"/>
  <c r="F266" i="9"/>
  <c r="H266" i="9"/>
  <c r="K198" i="9"/>
  <c r="K156" i="9"/>
  <c r="K135" i="9"/>
  <c r="K88" i="9"/>
  <c r="K179" i="9"/>
  <c r="K113" i="9"/>
  <c r="L76" i="9"/>
  <c r="J259" i="9"/>
  <c r="L108" i="9"/>
  <c r="J120" i="9"/>
  <c r="J263" i="9"/>
  <c r="J257" i="9"/>
  <c r="J192" i="9"/>
  <c r="L184" i="9"/>
  <c r="L192" i="9" s="1"/>
  <c r="J205" i="9"/>
  <c r="L199" i="9"/>
  <c r="L205" i="9" s="1"/>
  <c r="J165" i="9"/>
  <c r="J248" i="9" s="1"/>
  <c r="E250" i="9"/>
  <c r="J167" i="9"/>
  <c r="L167" i="9" s="1"/>
  <c r="E254" i="9"/>
  <c r="J169" i="9"/>
  <c r="L169" i="9" s="1"/>
  <c r="E260" i="9"/>
  <c r="J173" i="9"/>
  <c r="L173" i="9" s="1"/>
  <c r="E266" i="9"/>
  <c r="J193" i="9"/>
  <c r="J207" i="9"/>
  <c r="E258" i="9"/>
  <c r="J211" i="9"/>
  <c r="L211" i="9" s="1"/>
  <c r="J254" i="9"/>
  <c r="J261" i="9"/>
  <c r="L114" i="9"/>
  <c r="L120" i="9" s="1"/>
  <c r="J123" i="9"/>
  <c r="L123" i="9" s="1"/>
  <c r="L130" i="9" s="1"/>
  <c r="J143" i="9"/>
  <c r="L136" i="9"/>
  <c r="L143" i="9" s="1"/>
  <c r="J157" i="9"/>
  <c r="L182" i="9"/>
  <c r="E257" i="9"/>
  <c r="E261" i="9"/>
  <c r="E240" i="9"/>
  <c r="E256" i="9"/>
  <c r="J149" i="9"/>
  <c r="L149" i="9" s="1"/>
  <c r="L153" i="9" s="1"/>
  <c r="E244" i="9"/>
  <c r="E247" i="9"/>
  <c r="L40" i="9"/>
  <c r="L41" i="9"/>
  <c r="L43" i="9"/>
  <c r="F262" i="9"/>
  <c r="F246" i="9"/>
  <c r="J239" i="9"/>
  <c r="L54" i="9"/>
  <c r="E246" i="9"/>
  <c r="J247" i="9"/>
  <c r="J251" i="9"/>
  <c r="J253" i="9"/>
  <c r="J52" i="9"/>
  <c r="J56" i="9"/>
  <c r="L56" i="9" s="1"/>
  <c r="J60" i="9"/>
  <c r="L60" i="9" s="1"/>
  <c r="J86" i="9"/>
  <c r="L86" i="9" s="1"/>
  <c r="J51" i="9"/>
  <c r="L49" i="9"/>
  <c r="L51" i="9" s="1"/>
  <c r="J48" i="9"/>
  <c r="L33" i="9"/>
  <c r="L34" i="9"/>
  <c r="L35" i="9"/>
  <c r="L37" i="9"/>
  <c r="L39" i="9"/>
  <c r="J32" i="9"/>
  <c r="L25" i="9"/>
  <c r="L32" i="9" s="1"/>
  <c r="J243" i="9"/>
  <c r="J228" i="9"/>
  <c r="J235" i="9"/>
  <c r="J10" i="9"/>
  <c r="J14" i="9"/>
  <c r="L14" i="9" s="1"/>
  <c r="F24" i="9"/>
  <c r="F236" i="9" s="1"/>
  <c r="J79" i="9"/>
  <c r="L77" i="9"/>
  <c r="L79" i="9" s="1"/>
  <c r="D88" i="9"/>
  <c r="J96" i="9"/>
  <c r="L89" i="9"/>
  <c r="L96" i="9" s="1"/>
  <c r="J108" i="9"/>
  <c r="J182" i="9"/>
  <c r="J252" i="9"/>
  <c r="L5" i="9"/>
  <c r="L6" i="9"/>
  <c r="L7" i="9"/>
  <c r="L8" i="9"/>
  <c r="J9" i="9"/>
  <c r="L13" i="9"/>
  <c r="L23" i="9"/>
  <c r="J76" i="9"/>
  <c r="G266" i="9"/>
  <c r="I266" i="9"/>
  <c r="K266" i="9"/>
  <c r="G246" i="9"/>
  <c r="I246" i="9"/>
  <c r="K246" i="9"/>
  <c r="G262" i="9"/>
  <c r="I262" i="9"/>
  <c r="K262" i="9"/>
  <c r="F232" i="9"/>
  <c r="J232" i="9"/>
  <c r="J240" i="9"/>
  <c r="J242" i="9"/>
  <c r="J244" i="9"/>
  <c r="D246" i="9"/>
  <c r="J264" i="9"/>
  <c r="J265" i="9"/>
  <c r="K217" i="9"/>
  <c r="F211" i="8"/>
  <c r="F210" i="8"/>
  <c r="F204" i="8"/>
  <c r="F171" i="8"/>
  <c r="F150" i="8"/>
  <c r="F146" i="8"/>
  <c r="F141" i="8"/>
  <c r="F136" i="8"/>
  <c r="F127" i="8"/>
  <c r="F118" i="8"/>
  <c r="F114" i="8"/>
  <c r="F94" i="8"/>
  <c r="F89" i="8"/>
  <c r="F30" i="8"/>
  <c r="F25" i="8"/>
  <c r="F12" i="8"/>
  <c r="F11" i="8"/>
  <c r="F10" i="8"/>
  <c r="F291" i="8"/>
  <c r="F290" i="8"/>
  <c r="F289" i="8"/>
  <c r="F279" i="8"/>
  <c r="F276" i="8"/>
  <c r="F331" i="8" s="1"/>
  <c r="F274" i="8"/>
  <c r="F329" i="8" s="1"/>
  <c r="F273" i="8"/>
  <c r="F349" i="8"/>
  <c r="F343" i="8"/>
  <c r="F333" i="8"/>
  <c r="F332" i="8"/>
  <c r="F330" i="8"/>
  <c r="F327" i="8"/>
  <c r="F335" i="8"/>
  <c r="J256" i="9" l="1"/>
  <c r="G218" i="9"/>
  <c r="G267" i="9" s="1"/>
  <c r="M32" i="11"/>
  <c r="M88" i="11" s="1"/>
  <c r="M219" i="11" s="1"/>
  <c r="K88" i="11"/>
  <c r="K247" i="11"/>
  <c r="L219" i="10"/>
  <c r="H218" i="9"/>
  <c r="H267" i="9" s="1"/>
  <c r="J258" i="9"/>
  <c r="I218" i="9"/>
  <c r="I267" i="9" s="1"/>
  <c r="F218" i="9"/>
  <c r="F267" i="9" s="1"/>
  <c r="D218" i="9"/>
  <c r="D267" i="9" s="1"/>
  <c r="K218" i="9"/>
  <c r="K267" i="9" s="1"/>
  <c r="L156" i="9"/>
  <c r="J250" i="9"/>
  <c r="J153" i="9"/>
  <c r="J156" i="9" s="1"/>
  <c r="J130" i="9"/>
  <c r="J135" i="9" s="1"/>
  <c r="J260" i="9"/>
  <c r="L113" i="9"/>
  <c r="J249" i="9"/>
  <c r="L135" i="9"/>
  <c r="J163" i="9"/>
  <c r="L157" i="9"/>
  <c r="L163" i="9" s="1"/>
  <c r="J214" i="9"/>
  <c r="J217" i="9" s="1"/>
  <c r="L207" i="9"/>
  <c r="L214" i="9" s="1"/>
  <c r="L217" i="9" s="1"/>
  <c r="J196" i="9"/>
  <c r="J266" i="9" s="1"/>
  <c r="L193" i="9"/>
  <c r="L196" i="9" s="1"/>
  <c r="L198" i="9" s="1"/>
  <c r="E262" i="9"/>
  <c r="J174" i="9"/>
  <c r="L165" i="9"/>
  <c r="L174" i="9" s="1"/>
  <c r="E218" i="9"/>
  <c r="E267" i="9" s="1"/>
  <c r="J241" i="9"/>
  <c r="J61" i="9"/>
  <c r="J88" i="9" s="1"/>
  <c r="L52" i="9"/>
  <c r="L61" i="9" s="1"/>
  <c r="J237" i="9"/>
  <c r="J245" i="9"/>
  <c r="L48" i="9"/>
  <c r="J233" i="9"/>
  <c r="L10" i="9"/>
  <c r="J227" i="9"/>
  <c r="J231" i="9"/>
  <c r="L9" i="9"/>
  <c r="J113" i="9"/>
  <c r="J24" i="9"/>
  <c r="J236" i="9" s="1"/>
  <c r="J234" i="9"/>
  <c r="F281" i="8"/>
  <c r="F328" i="8"/>
  <c r="F295" i="8"/>
  <c r="K219" i="11" l="1"/>
  <c r="K268" i="11" s="1"/>
  <c r="J246" i="9"/>
  <c r="L88" i="9"/>
  <c r="J179" i="9"/>
  <c r="J198" i="9"/>
  <c r="J262" i="9"/>
  <c r="L179" i="9"/>
  <c r="L24" i="9"/>
  <c r="J204" i="8"/>
  <c r="J203" i="8"/>
  <c r="J161" i="8"/>
  <c r="J162" i="8"/>
  <c r="L162" i="8" s="1"/>
  <c r="J164" i="8"/>
  <c r="L164" i="8" s="1"/>
  <c r="J165" i="8"/>
  <c r="L165" i="8" s="1"/>
  <c r="J166" i="8"/>
  <c r="L166" i="8" s="1"/>
  <c r="J167" i="8"/>
  <c r="L167" i="8" s="1"/>
  <c r="J168" i="8"/>
  <c r="L168" i="8" s="1"/>
  <c r="J171" i="8"/>
  <c r="J172" i="8"/>
  <c r="L172" i="8" s="1"/>
  <c r="J175" i="8"/>
  <c r="L175" i="8" s="1"/>
  <c r="J176" i="8"/>
  <c r="L176" i="8" s="1"/>
  <c r="J177" i="8"/>
  <c r="L177" i="8" s="1"/>
  <c r="J178" i="8"/>
  <c r="L178" i="8" s="1"/>
  <c r="J180" i="8"/>
  <c r="L180" i="8" s="1"/>
  <c r="J185" i="8"/>
  <c r="J186" i="8"/>
  <c r="J188" i="8"/>
  <c r="L188" i="8" s="1"/>
  <c r="J189" i="8"/>
  <c r="L189" i="8" s="1"/>
  <c r="J190" i="8"/>
  <c r="L190" i="8" s="1"/>
  <c r="J191" i="8"/>
  <c r="L191" i="8" s="1"/>
  <c r="J193" i="8"/>
  <c r="L193" i="8" s="1"/>
  <c r="J194" i="8"/>
  <c r="J195" i="8"/>
  <c r="L195" i="8" s="1"/>
  <c r="J197" i="8"/>
  <c r="J263" i="8" s="1"/>
  <c r="J199" i="8"/>
  <c r="J200" i="8"/>
  <c r="J201" i="8"/>
  <c r="L201" i="8" s="1"/>
  <c r="G243" i="8"/>
  <c r="F213" i="8"/>
  <c r="J213" i="8" s="1"/>
  <c r="J211" i="8"/>
  <c r="F202" i="8"/>
  <c r="J202" i="8" s="1"/>
  <c r="F184" i="8"/>
  <c r="J184" i="8" s="1"/>
  <c r="F183" i="8"/>
  <c r="F181" i="8"/>
  <c r="F245" i="8" s="1"/>
  <c r="F173" i="8"/>
  <c r="F170" i="8"/>
  <c r="J170" i="8" s="1"/>
  <c r="F169" i="8"/>
  <c r="J169" i="8" s="1"/>
  <c r="F149" i="8"/>
  <c r="J149" i="8" s="1"/>
  <c r="L149" i="8" s="1"/>
  <c r="F148" i="8"/>
  <c r="J148" i="8" s="1"/>
  <c r="L148" i="8" s="1"/>
  <c r="J146" i="8"/>
  <c r="L146" i="8" s="1"/>
  <c r="F151" i="8"/>
  <c r="J151" i="8" s="1"/>
  <c r="L151" i="8" s="1"/>
  <c r="F143" i="8"/>
  <c r="F126" i="8"/>
  <c r="J126" i="8" s="1"/>
  <c r="L126" i="8" s="1"/>
  <c r="F125" i="8"/>
  <c r="J125" i="8" s="1"/>
  <c r="L125" i="8" s="1"/>
  <c r="F128" i="8"/>
  <c r="J128" i="8" s="1"/>
  <c r="L128" i="8" s="1"/>
  <c r="J127" i="8"/>
  <c r="L127" i="8" s="1"/>
  <c r="J118" i="8"/>
  <c r="L118" i="8" s="1"/>
  <c r="F104" i="8"/>
  <c r="F103" i="8"/>
  <c r="J103" i="8" s="1"/>
  <c r="L103" i="8" s="1"/>
  <c r="F102" i="8"/>
  <c r="F252" i="8" s="1"/>
  <c r="F107" i="8"/>
  <c r="J107" i="8" s="1"/>
  <c r="L107" i="8" s="1"/>
  <c r="J94" i="8"/>
  <c r="L94" i="8" s="1"/>
  <c r="J89" i="8"/>
  <c r="F75" i="8"/>
  <c r="J75" i="8" s="1"/>
  <c r="L75" i="8" s="1"/>
  <c r="F71" i="8"/>
  <c r="J71" i="8" s="1"/>
  <c r="L71" i="8" s="1"/>
  <c r="F72" i="8"/>
  <c r="F59" i="8"/>
  <c r="J59" i="8" s="1"/>
  <c r="L59" i="8" s="1"/>
  <c r="F57" i="8"/>
  <c r="J57" i="8" s="1"/>
  <c r="L57" i="8" s="1"/>
  <c r="F43" i="8"/>
  <c r="J43" i="8" s="1"/>
  <c r="L43" i="8" s="1"/>
  <c r="F41" i="8"/>
  <c r="J41" i="8" s="1"/>
  <c r="F44" i="8"/>
  <c r="J44" i="8" s="1"/>
  <c r="J30" i="8"/>
  <c r="L30" i="8" s="1"/>
  <c r="F28" i="8"/>
  <c r="F9" i="8"/>
  <c r="F306" i="8" s="1"/>
  <c r="F307" i="8" s="1"/>
  <c r="E214" i="8"/>
  <c r="E205" i="8"/>
  <c r="E192" i="8"/>
  <c r="E182" i="8"/>
  <c r="E174" i="8"/>
  <c r="E163" i="8"/>
  <c r="E153" i="8"/>
  <c r="E143" i="8"/>
  <c r="E130" i="8"/>
  <c r="E120" i="8"/>
  <c r="E108" i="8"/>
  <c r="E96" i="8"/>
  <c r="E76" i="8"/>
  <c r="E61" i="8"/>
  <c r="E48" i="8"/>
  <c r="E32" i="8"/>
  <c r="E266" i="8"/>
  <c r="K265" i="8"/>
  <c r="I265" i="8"/>
  <c r="H265" i="8"/>
  <c r="G265" i="8"/>
  <c r="F265" i="8"/>
  <c r="E265" i="8"/>
  <c r="D265" i="8"/>
  <c r="K264" i="8"/>
  <c r="I264" i="8"/>
  <c r="H264" i="8"/>
  <c r="G264" i="8"/>
  <c r="F264" i="8"/>
  <c r="E264" i="8"/>
  <c r="D264" i="8"/>
  <c r="K263" i="8"/>
  <c r="I263" i="8"/>
  <c r="H263" i="8"/>
  <c r="G263" i="8"/>
  <c r="F263" i="8"/>
  <c r="E263" i="8"/>
  <c r="D263" i="8"/>
  <c r="K261" i="8"/>
  <c r="I261" i="8"/>
  <c r="H261" i="8"/>
  <c r="G261" i="8"/>
  <c r="E261" i="8"/>
  <c r="D261" i="8"/>
  <c r="K260" i="8"/>
  <c r="I260" i="8"/>
  <c r="H260" i="8"/>
  <c r="G260" i="8"/>
  <c r="E260" i="8"/>
  <c r="D260" i="8"/>
  <c r="K259" i="8"/>
  <c r="I259" i="8"/>
  <c r="H259" i="8"/>
  <c r="G259" i="8"/>
  <c r="F259" i="8"/>
  <c r="E259" i="8"/>
  <c r="D259" i="8"/>
  <c r="K258" i="8"/>
  <c r="I258" i="8"/>
  <c r="H258" i="8"/>
  <c r="G258" i="8"/>
  <c r="E258" i="8"/>
  <c r="D258" i="8"/>
  <c r="K257" i="8"/>
  <c r="I257" i="8"/>
  <c r="H257" i="8"/>
  <c r="G257" i="8"/>
  <c r="E257" i="8"/>
  <c r="D257" i="8"/>
  <c r="K256" i="8"/>
  <c r="I256" i="8"/>
  <c r="H256" i="8"/>
  <c r="G256" i="8"/>
  <c r="E256" i="8"/>
  <c r="D256" i="8"/>
  <c r="K255" i="8"/>
  <c r="I255" i="8"/>
  <c r="H255" i="8"/>
  <c r="G255" i="8"/>
  <c r="E255" i="8"/>
  <c r="D255" i="8"/>
  <c r="K254" i="8"/>
  <c r="I254" i="8"/>
  <c r="H254" i="8"/>
  <c r="G254" i="8"/>
  <c r="E254" i="8"/>
  <c r="D254" i="8"/>
  <c r="K253" i="8"/>
  <c r="I253" i="8"/>
  <c r="H253" i="8"/>
  <c r="G253" i="8"/>
  <c r="F253" i="8"/>
  <c r="E253" i="8"/>
  <c r="D253" i="8"/>
  <c r="K252" i="8"/>
  <c r="I252" i="8"/>
  <c r="H252" i="8"/>
  <c r="G252" i="8"/>
  <c r="E252" i="8"/>
  <c r="D252" i="8"/>
  <c r="K251" i="8"/>
  <c r="I251" i="8"/>
  <c r="H251" i="8"/>
  <c r="G251" i="8"/>
  <c r="F251" i="8"/>
  <c r="E251" i="8"/>
  <c r="D251" i="8"/>
  <c r="K250" i="8"/>
  <c r="I250" i="8"/>
  <c r="H250" i="8"/>
  <c r="G250" i="8"/>
  <c r="F250" i="8"/>
  <c r="E250" i="8"/>
  <c r="D250" i="8"/>
  <c r="K249" i="8"/>
  <c r="I249" i="8"/>
  <c r="H249" i="8"/>
  <c r="G249" i="8"/>
  <c r="E249" i="8"/>
  <c r="D249" i="8"/>
  <c r="K248" i="8"/>
  <c r="I248" i="8"/>
  <c r="H248" i="8"/>
  <c r="G248" i="8"/>
  <c r="F248" i="8"/>
  <c r="E248" i="8"/>
  <c r="D248" i="8"/>
  <c r="K247" i="8"/>
  <c r="I247" i="8"/>
  <c r="H247" i="8"/>
  <c r="G247" i="8"/>
  <c r="E247" i="8"/>
  <c r="D247" i="8"/>
  <c r="K245" i="8"/>
  <c r="I245" i="8"/>
  <c r="H245" i="8"/>
  <c r="G245" i="8"/>
  <c r="E245" i="8"/>
  <c r="D245" i="8"/>
  <c r="K244" i="8"/>
  <c r="I244" i="8"/>
  <c r="H244" i="8"/>
  <c r="G244" i="8"/>
  <c r="E244" i="8"/>
  <c r="D244" i="8"/>
  <c r="K243" i="8"/>
  <c r="I243" i="8"/>
  <c r="H243" i="8"/>
  <c r="F243" i="8"/>
  <c r="E243" i="8"/>
  <c r="D243" i="8"/>
  <c r="K242" i="8"/>
  <c r="I242" i="8"/>
  <c r="H242" i="8"/>
  <c r="G242" i="8"/>
  <c r="E242" i="8"/>
  <c r="D242" i="8"/>
  <c r="K241" i="8"/>
  <c r="I241" i="8"/>
  <c r="H241" i="8"/>
  <c r="G241" i="8"/>
  <c r="F241" i="8"/>
  <c r="E241" i="8"/>
  <c r="D241" i="8"/>
  <c r="K240" i="8"/>
  <c r="I240" i="8"/>
  <c r="H240" i="8"/>
  <c r="G240" i="8"/>
  <c r="F240" i="8"/>
  <c r="E240" i="8"/>
  <c r="D240" i="8"/>
  <c r="K239" i="8"/>
  <c r="I239" i="8"/>
  <c r="H239" i="8"/>
  <c r="G239" i="8"/>
  <c r="F239" i="8"/>
  <c r="E239" i="8"/>
  <c r="D239" i="8"/>
  <c r="K238" i="8"/>
  <c r="I238" i="8"/>
  <c r="H238" i="8"/>
  <c r="G238" i="8"/>
  <c r="F238" i="8"/>
  <c r="E238" i="8"/>
  <c r="D238" i="8"/>
  <c r="K237" i="8"/>
  <c r="I237" i="8"/>
  <c r="H237" i="8"/>
  <c r="G237" i="8"/>
  <c r="E237" i="8"/>
  <c r="D237" i="8"/>
  <c r="K235" i="8"/>
  <c r="I235" i="8"/>
  <c r="H235" i="8"/>
  <c r="G235" i="8"/>
  <c r="F235" i="8"/>
  <c r="E235" i="8"/>
  <c r="D235" i="8"/>
  <c r="K234" i="8"/>
  <c r="I234" i="8"/>
  <c r="H234" i="8"/>
  <c r="G234" i="8"/>
  <c r="E234" i="8"/>
  <c r="D234" i="8"/>
  <c r="K233" i="8"/>
  <c r="I233" i="8"/>
  <c r="H233" i="8"/>
  <c r="G233" i="8"/>
  <c r="F233" i="8"/>
  <c r="E233" i="8"/>
  <c r="D233" i="8"/>
  <c r="K232" i="8"/>
  <c r="I232" i="8"/>
  <c r="H232" i="8"/>
  <c r="G232" i="8"/>
  <c r="E232" i="8"/>
  <c r="D232" i="8"/>
  <c r="K231" i="8"/>
  <c r="I231" i="8"/>
  <c r="H231" i="8"/>
  <c r="G231" i="8"/>
  <c r="E231" i="8"/>
  <c r="D231" i="8"/>
  <c r="K230" i="8"/>
  <c r="I230" i="8"/>
  <c r="H230" i="8"/>
  <c r="G230" i="8"/>
  <c r="F230" i="8"/>
  <c r="E230" i="8"/>
  <c r="D230" i="8"/>
  <c r="K229" i="8"/>
  <c r="I229" i="8"/>
  <c r="H229" i="8"/>
  <c r="G229" i="8"/>
  <c r="F229" i="8"/>
  <c r="E229" i="8"/>
  <c r="D229" i="8"/>
  <c r="K228" i="8"/>
  <c r="I228" i="8"/>
  <c r="H228" i="8"/>
  <c r="G228" i="8"/>
  <c r="F228" i="8"/>
  <c r="E228" i="8"/>
  <c r="D228" i="8"/>
  <c r="K227" i="8"/>
  <c r="I227" i="8"/>
  <c r="H227" i="8"/>
  <c r="G227" i="8"/>
  <c r="F227" i="8"/>
  <c r="E227" i="8"/>
  <c r="D227" i="8"/>
  <c r="J216" i="8"/>
  <c r="L216" i="8" s="1"/>
  <c r="J215" i="8"/>
  <c r="L215" i="8" s="1"/>
  <c r="K214" i="8"/>
  <c r="I214" i="8"/>
  <c r="H214" i="8"/>
  <c r="G214" i="8"/>
  <c r="D214" i="8"/>
  <c r="J212" i="8"/>
  <c r="L212" i="8" s="1"/>
  <c r="J209" i="8"/>
  <c r="L209" i="8" s="1"/>
  <c r="J208" i="8"/>
  <c r="L208" i="8" s="1"/>
  <c r="J207" i="8"/>
  <c r="J206" i="8"/>
  <c r="L206" i="8" s="1"/>
  <c r="K205" i="8"/>
  <c r="I205" i="8"/>
  <c r="H205" i="8"/>
  <c r="G205" i="8"/>
  <c r="D205" i="8"/>
  <c r="K196" i="8"/>
  <c r="I196" i="8"/>
  <c r="H196" i="8"/>
  <c r="G196" i="8"/>
  <c r="F318" i="8" s="1"/>
  <c r="F347" i="8" s="1"/>
  <c r="F196" i="8"/>
  <c r="D196" i="8"/>
  <c r="K192" i="8"/>
  <c r="I192" i="8"/>
  <c r="H192" i="8"/>
  <c r="G192" i="8"/>
  <c r="D192" i="8"/>
  <c r="L186" i="8"/>
  <c r="K182" i="8"/>
  <c r="I182" i="8"/>
  <c r="H182" i="8"/>
  <c r="G182" i="8"/>
  <c r="D182" i="8"/>
  <c r="K174" i="8"/>
  <c r="I174" i="8"/>
  <c r="H174" i="8"/>
  <c r="G174" i="8"/>
  <c r="D174" i="8"/>
  <c r="K163" i="8"/>
  <c r="I163" i="8"/>
  <c r="H163" i="8"/>
  <c r="G163" i="8"/>
  <c r="F163" i="8"/>
  <c r="D163" i="8"/>
  <c r="J160" i="8"/>
  <c r="L160" i="8" s="1"/>
  <c r="J159" i="8"/>
  <c r="L159" i="8" s="1"/>
  <c r="J158" i="8"/>
  <c r="L158" i="8" s="1"/>
  <c r="J157" i="8"/>
  <c r="J155" i="8"/>
  <c r="L155" i="8" s="1"/>
  <c r="J154" i="8"/>
  <c r="L154" i="8" s="1"/>
  <c r="K153" i="8"/>
  <c r="I153" i="8"/>
  <c r="H153" i="8"/>
  <c r="G153" i="8"/>
  <c r="D153" i="8"/>
  <c r="J152" i="8"/>
  <c r="L152" i="8" s="1"/>
  <c r="J147" i="8"/>
  <c r="L147" i="8" s="1"/>
  <c r="J145" i="8"/>
  <c r="J144" i="8"/>
  <c r="L144" i="8" s="1"/>
  <c r="K143" i="8"/>
  <c r="I143" i="8"/>
  <c r="H143" i="8"/>
  <c r="G143" i="8"/>
  <c r="D143" i="8"/>
  <c r="J142" i="8"/>
  <c r="L142" i="8" s="1"/>
  <c r="J141" i="8"/>
  <c r="L141" i="8" s="1"/>
  <c r="J140" i="8"/>
  <c r="L140" i="8" s="1"/>
  <c r="J139" i="8"/>
  <c r="L139" i="8" s="1"/>
  <c r="J138" i="8"/>
  <c r="L138" i="8" s="1"/>
  <c r="J137" i="8"/>
  <c r="L137" i="8" s="1"/>
  <c r="J136" i="8"/>
  <c r="J134" i="8"/>
  <c r="L134" i="8" s="1"/>
  <c r="J133" i="8"/>
  <c r="L133" i="8" s="1"/>
  <c r="J132" i="8"/>
  <c r="L132" i="8" s="1"/>
  <c r="J131" i="8"/>
  <c r="L131" i="8" s="1"/>
  <c r="K130" i="8"/>
  <c r="I130" i="8"/>
  <c r="H130" i="8"/>
  <c r="G130" i="8"/>
  <c r="D130" i="8"/>
  <c r="J129" i="8"/>
  <c r="L129" i="8" s="1"/>
  <c r="J124" i="8"/>
  <c r="L124" i="8" s="1"/>
  <c r="J123" i="8"/>
  <c r="L123" i="8" s="1"/>
  <c r="J122" i="8"/>
  <c r="J121" i="8"/>
  <c r="L121" i="8" s="1"/>
  <c r="K120" i="8"/>
  <c r="I120" i="8"/>
  <c r="H120" i="8"/>
  <c r="G120" i="8"/>
  <c r="D120" i="8"/>
  <c r="J119" i="8"/>
  <c r="L119" i="8" s="1"/>
  <c r="J117" i="8"/>
  <c r="L117" i="8" s="1"/>
  <c r="J116" i="8"/>
  <c r="L116" i="8" s="1"/>
  <c r="J115" i="8"/>
  <c r="L115" i="8" s="1"/>
  <c r="J112" i="8"/>
  <c r="L112" i="8" s="1"/>
  <c r="J111" i="8"/>
  <c r="L111" i="8" s="1"/>
  <c r="J110" i="8"/>
  <c r="L110" i="8" s="1"/>
  <c r="J109" i="8"/>
  <c r="L109" i="8" s="1"/>
  <c r="K108" i="8"/>
  <c r="I108" i="8"/>
  <c r="H108" i="8"/>
  <c r="G108" i="8"/>
  <c r="D108" i="8"/>
  <c r="J106" i="8"/>
  <c r="L106" i="8" s="1"/>
  <c r="J101" i="8"/>
  <c r="L101" i="8" s="1"/>
  <c r="J100" i="8"/>
  <c r="L100" i="8" s="1"/>
  <c r="J99" i="8"/>
  <c r="L99" i="8" s="1"/>
  <c r="J98" i="8"/>
  <c r="L98" i="8" s="1"/>
  <c r="J97" i="8"/>
  <c r="L97" i="8" s="1"/>
  <c r="K96" i="8"/>
  <c r="I96" i="8"/>
  <c r="H96" i="8"/>
  <c r="G96" i="8"/>
  <c r="D96" i="8"/>
  <c r="J95" i="8"/>
  <c r="L95" i="8" s="1"/>
  <c r="J93" i="8"/>
  <c r="L93" i="8" s="1"/>
  <c r="J92" i="8"/>
  <c r="L92" i="8" s="1"/>
  <c r="J91" i="8"/>
  <c r="L91" i="8" s="1"/>
  <c r="J90" i="8"/>
  <c r="L90" i="8" s="1"/>
  <c r="J87" i="8"/>
  <c r="L87" i="8" s="1"/>
  <c r="J86" i="8"/>
  <c r="L86" i="8" s="1"/>
  <c r="J85" i="8"/>
  <c r="L85" i="8" s="1"/>
  <c r="J84" i="8"/>
  <c r="L84" i="8" s="1"/>
  <c r="J83" i="8"/>
  <c r="L83" i="8" s="1"/>
  <c r="J82" i="8"/>
  <c r="L82" i="8" s="1"/>
  <c r="J81" i="8"/>
  <c r="L81" i="8" s="1"/>
  <c r="J80" i="8"/>
  <c r="L80" i="8" s="1"/>
  <c r="K79" i="8"/>
  <c r="I79" i="8"/>
  <c r="H79" i="8"/>
  <c r="G79" i="8"/>
  <c r="F79" i="8"/>
  <c r="D79" i="8"/>
  <c r="J78" i="8"/>
  <c r="L78" i="8" s="1"/>
  <c r="J77" i="8"/>
  <c r="K76" i="8"/>
  <c r="I76" i="8"/>
  <c r="H76" i="8"/>
  <c r="G76" i="8"/>
  <c r="D76" i="8"/>
  <c r="J74" i="8"/>
  <c r="L74" i="8" s="1"/>
  <c r="J73" i="8"/>
  <c r="L73" i="8" s="1"/>
  <c r="J70" i="8"/>
  <c r="L70" i="8" s="1"/>
  <c r="J69" i="8"/>
  <c r="L69" i="8" s="1"/>
  <c r="J68" i="8"/>
  <c r="L68" i="8" s="1"/>
  <c r="J67" i="8"/>
  <c r="L67" i="8" s="1"/>
  <c r="J66" i="8"/>
  <c r="L66" i="8" s="1"/>
  <c r="J65" i="8"/>
  <c r="L65" i="8" s="1"/>
  <c r="J64" i="8"/>
  <c r="L64" i="8" s="1"/>
  <c r="J63" i="8"/>
  <c r="L63" i="8" s="1"/>
  <c r="J62" i="8"/>
  <c r="L62" i="8" s="1"/>
  <c r="K61" i="8"/>
  <c r="I61" i="8"/>
  <c r="H61" i="8"/>
  <c r="G61" i="8"/>
  <c r="D61" i="8"/>
  <c r="J60" i="8"/>
  <c r="L60" i="8" s="1"/>
  <c r="J58" i="8"/>
  <c r="L58" i="8" s="1"/>
  <c r="J56" i="8"/>
  <c r="L56" i="8" s="1"/>
  <c r="J55" i="8"/>
  <c r="L55" i="8" s="1"/>
  <c r="J54" i="8"/>
  <c r="J239" i="8" s="1"/>
  <c r="J53" i="8"/>
  <c r="J238" i="8" s="1"/>
  <c r="J52" i="8"/>
  <c r="L52" i="8" s="1"/>
  <c r="K51" i="8"/>
  <c r="I51" i="8"/>
  <c r="H51" i="8"/>
  <c r="G51" i="8"/>
  <c r="F51" i="8"/>
  <c r="D51" i="8"/>
  <c r="J50" i="8"/>
  <c r="L50" i="8" s="1"/>
  <c r="J49" i="8"/>
  <c r="K48" i="8"/>
  <c r="I48" i="8"/>
  <c r="H48" i="8"/>
  <c r="G48" i="8"/>
  <c r="D48" i="8"/>
  <c r="J47" i="8"/>
  <c r="L47" i="8" s="1"/>
  <c r="J46" i="8"/>
  <c r="L46" i="8" s="1"/>
  <c r="J45" i="8"/>
  <c r="J42" i="8"/>
  <c r="L42" i="8" s="1"/>
  <c r="J40" i="8"/>
  <c r="L40" i="8" s="1"/>
  <c r="J39" i="8"/>
  <c r="L39" i="8" s="1"/>
  <c r="J38" i="8"/>
  <c r="L38" i="8" s="1"/>
  <c r="J37" i="8"/>
  <c r="L37" i="8" s="1"/>
  <c r="J36" i="8"/>
  <c r="L36" i="8" s="1"/>
  <c r="J35" i="8"/>
  <c r="L35" i="8" s="1"/>
  <c r="J34" i="8"/>
  <c r="L34" i="8" s="1"/>
  <c r="J33" i="8"/>
  <c r="L33" i="8" s="1"/>
  <c r="K32" i="8"/>
  <c r="I32" i="8"/>
  <c r="H32" i="8"/>
  <c r="G32" i="8"/>
  <c r="D32" i="8"/>
  <c r="J31" i="8"/>
  <c r="L31" i="8" s="1"/>
  <c r="J29" i="8"/>
  <c r="L29" i="8" s="1"/>
  <c r="J27" i="8"/>
  <c r="L27" i="8" s="1"/>
  <c r="J26" i="8"/>
  <c r="L26" i="8" s="1"/>
  <c r="J25" i="8"/>
  <c r="L25" i="8" s="1"/>
  <c r="K24" i="8"/>
  <c r="K236" i="8" s="1"/>
  <c r="I24" i="8"/>
  <c r="I236" i="8" s="1"/>
  <c r="H24" i="8"/>
  <c r="H236" i="8" s="1"/>
  <c r="G24" i="8"/>
  <c r="G236" i="8" s="1"/>
  <c r="E24" i="8"/>
  <c r="E236" i="8" s="1"/>
  <c r="D24" i="8"/>
  <c r="D236" i="8" s="1"/>
  <c r="J23" i="8"/>
  <c r="J22" i="8"/>
  <c r="L22" i="8" s="1"/>
  <c r="J21" i="8"/>
  <c r="L21" i="8" s="1"/>
  <c r="J20" i="8"/>
  <c r="L20" i="8" s="1"/>
  <c r="J19" i="8"/>
  <c r="L19" i="8" s="1"/>
  <c r="J18" i="8"/>
  <c r="L18" i="8" s="1"/>
  <c r="J17" i="8"/>
  <c r="L17" i="8" s="1"/>
  <c r="J16" i="8"/>
  <c r="L16" i="8" s="1"/>
  <c r="J15" i="8"/>
  <c r="L15" i="8" s="1"/>
  <c r="J14" i="8"/>
  <c r="L14" i="8" s="1"/>
  <c r="J13" i="8"/>
  <c r="J12" i="8"/>
  <c r="L12" i="8" s="1"/>
  <c r="J11" i="8"/>
  <c r="L11" i="8" s="1"/>
  <c r="J10" i="8"/>
  <c r="J8" i="8"/>
  <c r="J230" i="8" s="1"/>
  <c r="J7" i="8"/>
  <c r="J229" i="8" s="1"/>
  <c r="J6" i="8"/>
  <c r="J5" i="8"/>
  <c r="J9" i="8" l="1"/>
  <c r="J231" i="8" s="1"/>
  <c r="F234" i="8"/>
  <c r="F24" i="8"/>
  <c r="F236" i="8" s="1"/>
  <c r="F231" i="8"/>
  <c r="L218" i="9"/>
  <c r="K217" i="8"/>
  <c r="J259" i="8"/>
  <c r="J218" i="9"/>
  <c r="J267" i="9" s="1"/>
  <c r="D179" i="8"/>
  <c r="F247" i="8"/>
  <c r="F316" i="8"/>
  <c r="F345" i="8" s="1"/>
  <c r="F244" i="8"/>
  <c r="J183" i="8"/>
  <c r="L183" i="8" s="1"/>
  <c r="J181" i="8"/>
  <c r="L181" i="8" s="1"/>
  <c r="L182" i="8" s="1"/>
  <c r="J173" i="8"/>
  <c r="L173" i="8" s="1"/>
  <c r="F334" i="8"/>
  <c r="F336" i="8" s="1"/>
  <c r="H113" i="8"/>
  <c r="E179" i="8"/>
  <c r="J51" i="8"/>
  <c r="G217" i="8"/>
  <c r="J163" i="8"/>
  <c r="I113" i="8"/>
  <c r="E113" i="8"/>
  <c r="G88" i="8"/>
  <c r="G135" i="8"/>
  <c r="J196" i="8"/>
  <c r="L49" i="8"/>
  <c r="L51" i="8" s="1"/>
  <c r="K135" i="8"/>
  <c r="L161" i="8"/>
  <c r="H217" i="8"/>
  <c r="E88" i="8"/>
  <c r="J79" i="8"/>
  <c r="E135" i="8"/>
  <c r="I156" i="8"/>
  <c r="K156" i="8"/>
  <c r="I179" i="8"/>
  <c r="L171" i="8"/>
  <c r="G179" i="8"/>
  <c r="D198" i="8"/>
  <c r="L169" i="8"/>
  <c r="J233" i="8"/>
  <c r="L77" i="8"/>
  <c r="H266" i="8"/>
  <c r="E217" i="8"/>
  <c r="H135" i="8"/>
  <c r="D88" i="8"/>
  <c r="K88" i="8"/>
  <c r="K179" i="8"/>
  <c r="E156" i="8"/>
  <c r="E198" i="8"/>
  <c r="L170" i="8"/>
  <c r="J228" i="8"/>
  <c r="L10" i="8"/>
  <c r="J235" i="8"/>
  <c r="L54" i="8"/>
  <c r="D113" i="8"/>
  <c r="K113" i="8"/>
  <c r="G156" i="8"/>
  <c r="H156" i="8"/>
  <c r="I198" i="8"/>
  <c r="J264" i="8"/>
  <c r="G266" i="8"/>
  <c r="D246" i="8"/>
  <c r="J227" i="8"/>
  <c r="H88" i="8"/>
  <c r="L79" i="8"/>
  <c r="D135" i="8"/>
  <c r="H246" i="8"/>
  <c r="J253" i="8"/>
  <c r="G198" i="8"/>
  <c r="F319" i="8" s="1"/>
  <c r="F348" i="8" s="1"/>
  <c r="F266" i="8"/>
  <c r="K266" i="8"/>
  <c r="I246" i="8"/>
  <c r="G262" i="8"/>
  <c r="L7" i="8"/>
  <c r="L9" i="8"/>
  <c r="L45" i="8"/>
  <c r="L53" i="8"/>
  <c r="I135" i="8"/>
  <c r="D156" i="8"/>
  <c r="H179" i="8"/>
  <c r="K198" i="8"/>
  <c r="D266" i="8"/>
  <c r="I266" i="8"/>
  <c r="J240" i="8"/>
  <c r="D262" i="8"/>
  <c r="K262" i="8"/>
  <c r="F214" i="8"/>
  <c r="J210" i="8"/>
  <c r="L210" i="8" s="1"/>
  <c r="F205" i="8"/>
  <c r="F182" i="8"/>
  <c r="J182" i="8" s="1"/>
  <c r="F174" i="8"/>
  <c r="F179" i="8" s="1"/>
  <c r="F249" i="8"/>
  <c r="F153" i="8"/>
  <c r="F156" i="8" s="1"/>
  <c r="J150" i="8"/>
  <c r="L150" i="8" s="1"/>
  <c r="F256" i="8"/>
  <c r="F254" i="8"/>
  <c r="F258" i="8"/>
  <c r="F130" i="8"/>
  <c r="F120" i="8"/>
  <c r="J114" i="8"/>
  <c r="J120" i="8" s="1"/>
  <c r="J104" i="8"/>
  <c r="L104" i="8" s="1"/>
  <c r="J102" i="8"/>
  <c r="J252" i="8" s="1"/>
  <c r="F260" i="8"/>
  <c r="F96" i="8"/>
  <c r="J96" i="8"/>
  <c r="F261" i="8"/>
  <c r="J72" i="8"/>
  <c r="L72" i="8" s="1"/>
  <c r="L76" i="8" s="1"/>
  <c r="F76" i="8"/>
  <c r="F61" i="8"/>
  <c r="F242" i="8"/>
  <c r="J255" i="8"/>
  <c r="L41" i="8"/>
  <c r="F48" i="8"/>
  <c r="F255" i="8"/>
  <c r="F32" i="8"/>
  <c r="J28" i="8"/>
  <c r="L28" i="8" s="1"/>
  <c r="L32" i="8" s="1"/>
  <c r="F237" i="8"/>
  <c r="H262" i="8"/>
  <c r="G113" i="8"/>
  <c r="L5" i="8"/>
  <c r="I262" i="8"/>
  <c r="I88" i="8"/>
  <c r="J48" i="8"/>
  <c r="J234" i="8"/>
  <c r="J143" i="8"/>
  <c r="J130" i="8"/>
  <c r="E246" i="8"/>
  <c r="L89" i="8"/>
  <c r="L96" i="8" s="1"/>
  <c r="E262" i="8"/>
  <c r="J261" i="8"/>
  <c r="J61" i="8"/>
  <c r="L44" i="8"/>
  <c r="J24" i="8"/>
  <c r="J236" i="8" s="1"/>
  <c r="D217" i="8"/>
  <c r="I217" i="8"/>
  <c r="G246" i="8"/>
  <c r="K246" i="8"/>
  <c r="L6" i="8"/>
  <c r="L8" i="8"/>
  <c r="L13" i="8"/>
  <c r="L23" i="8"/>
  <c r="L122" i="8"/>
  <c r="L130" i="8" s="1"/>
  <c r="L136" i="8"/>
  <c r="L143" i="8" s="1"/>
  <c r="L145" i="8"/>
  <c r="L157" i="8"/>
  <c r="L163" i="8" s="1"/>
  <c r="L185" i="8"/>
  <c r="L194" i="8"/>
  <c r="L196" i="8" s="1"/>
  <c r="L197" i="8"/>
  <c r="H198" i="8"/>
  <c r="L200" i="8"/>
  <c r="L202" i="8"/>
  <c r="L207" i="8"/>
  <c r="L211" i="8"/>
  <c r="L213" i="8"/>
  <c r="F232" i="8"/>
  <c r="J232" i="8"/>
  <c r="J241" i="8"/>
  <c r="J248" i="8"/>
  <c r="J249" i="8"/>
  <c r="J250" i="8"/>
  <c r="J251" i="8"/>
  <c r="J254" i="8"/>
  <c r="J260" i="8"/>
  <c r="J265" i="8"/>
  <c r="L184" i="8"/>
  <c r="L199" i="8"/>
  <c r="F105" i="7"/>
  <c r="F105" i="8" s="1"/>
  <c r="F108" i="8" s="1"/>
  <c r="F11" i="7"/>
  <c r="F9" i="7"/>
  <c r="E246" i="7"/>
  <c r="J174" i="8" l="1"/>
  <c r="J247" i="8"/>
  <c r="J266" i="8"/>
  <c r="J179" i="8"/>
  <c r="J105" i="8"/>
  <c r="L105" i="8" s="1"/>
  <c r="L174" i="8"/>
  <c r="L179" i="8" s="1"/>
  <c r="F315" i="8"/>
  <c r="L61" i="8"/>
  <c r="K218" i="8"/>
  <c r="K267" i="8" s="1"/>
  <c r="L153" i="8"/>
  <c r="L156" i="8" s="1"/>
  <c r="G218" i="8"/>
  <c r="G267" i="8" s="1"/>
  <c r="J32" i="8"/>
  <c r="L48" i="8"/>
  <c r="E218" i="8"/>
  <c r="E267" i="8" s="1"/>
  <c r="J244" i="8"/>
  <c r="L204" i="8"/>
  <c r="I218" i="8"/>
  <c r="I267" i="8" s="1"/>
  <c r="D218" i="8"/>
  <c r="D267" i="8" s="1"/>
  <c r="J242" i="8"/>
  <c r="H218" i="8"/>
  <c r="H267" i="8" s="1"/>
  <c r="J258" i="8"/>
  <c r="L203" i="8"/>
  <c r="J243" i="8"/>
  <c r="J76" i="8"/>
  <c r="F217" i="8"/>
  <c r="J214" i="8"/>
  <c r="J205" i="8"/>
  <c r="J245" i="8"/>
  <c r="J153" i="8"/>
  <c r="J156" i="8" s="1"/>
  <c r="F135" i="8"/>
  <c r="J237" i="8"/>
  <c r="J135" i="8"/>
  <c r="L114" i="8"/>
  <c r="L120" i="8" s="1"/>
  <c r="L135" i="8" s="1"/>
  <c r="J256" i="8"/>
  <c r="L102" i="8"/>
  <c r="F113" i="8"/>
  <c r="J108" i="8"/>
  <c r="J113" i="8" s="1"/>
  <c r="F88" i="8"/>
  <c r="F246" i="8"/>
  <c r="L24" i="8"/>
  <c r="L214" i="8"/>
  <c r="J30" i="7"/>
  <c r="L30" i="7" s="1"/>
  <c r="J28" i="7"/>
  <c r="L28" i="7" s="1"/>
  <c r="J26" i="7"/>
  <c r="L26" i="7" s="1"/>
  <c r="E266" i="7"/>
  <c r="K265" i="7"/>
  <c r="I265" i="7"/>
  <c r="H265" i="7"/>
  <c r="G265" i="7"/>
  <c r="F265" i="7"/>
  <c r="E265" i="7"/>
  <c r="D265" i="7"/>
  <c r="K264" i="7"/>
  <c r="I264" i="7"/>
  <c r="H264" i="7"/>
  <c r="G264" i="7"/>
  <c r="F264" i="7"/>
  <c r="E264" i="7"/>
  <c r="D264" i="7"/>
  <c r="K263" i="7"/>
  <c r="I263" i="7"/>
  <c r="H263" i="7"/>
  <c r="G263" i="7"/>
  <c r="F263" i="7"/>
  <c r="E263" i="7"/>
  <c r="D263" i="7"/>
  <c r="E262" i="7"/>
  <c r="K261" i="7"/>
  <c r="I261" i="7"/>
  <c r="H261" i="7"/>
  <c r="G261" i="7"/>
  <c r="F261" i="7"/>
  <c r="E261" i="7"/>
  <c r="D261" i="7"/>
  <c r="K260" i="7"/>
  <c r="I260" i="7"/>
  <c r="H260" i="7"/>
  <c r="G260" i="7"/>
  <c r="F260" i="7"/>
  <c r="E260" i="7"/>
  <c r="D260" i="7"/>
  <c r="K259" i="7"/>
  <c r="I259" i="7"/>
  <c r="H259" i="7"/>
  <c r="G259" i="7"/>
  <c r="F259" i="7"/>
  <c r="E259" i="7"/>
  <c r="D259" i="7"/>
  <c r="K258" i="7"/>
  <c r="I258" i="7"/>
  <c r="H258" i="7"/>
  <c r="G258" i="7"/>
  <c r="F258" i="7"/>
  <c r="E258" i="7"/>
  <c r="D258" i="7"/>
  <c r="K257" i="7"/>
  <c r="I257" i="7"/>
  <c r="H257" i="7"/>
  <c r="G257" i="7"/>
  <c r="F257" i="7"/>
  <c r="E257" i="7"/>
  <c r="D257" i="7"/>
  <c r="K256" i="7"/>
  <c r="I256" i="7"/>
  <c r="H256" i="7"/>
  <c r="G256" i="7"/>
  <c r="F256" i="7"/>
  <c r="E256" i="7"/>
  <c r="D256" i="7"/>
  <c r="K255" i="7"/>
  <c r="I255" i="7"/>
  <c r="H255" i="7"/>
  <c r="G255" i="7"/>
  <c r="F255" i="7"/>
  <c r="E255" i="7"/>
  <c r="D255" i="7"/>
  <c r="K254" i="7"/>
  <c r="I254" i="7"/>
  <c r="H254" i="7"/>
  <c r="G254" i="7"/>
  <c r="F254" i="7"/>
  <c r="E254" i="7"/>
  <c r="D254" i="7"/>
  <c r="K253" i="7"/>
  <c r="I253" i="7"/>
  <c r="H253" i="7"/>
  <c r="G253" i="7"/>
  <c r="F253" i="7"/>
  <c r="E253" i="7"/>
  <c r="D253" i="7"/>
  <c r="K252" i="7"/>
  <c r="I252" i="7"/>
  <c r="H252" i="7"/>
  <c r="G252" i="7"/>
  <c r="F252" i="7"/>
  <c r="E252" i="7"/>
  <c r="D252" i="7"/>
  <c r="K251" i="7"/>
  <c r="I251" i="7"/>
  <c r="H251" i="7"/>
  <c r="G251" i="7"/>
  <c r="F251" i="7"/>
  <c r="E251" i="7"/>
  <c r="D251" i="7"/>
  <c r="K250" i="7"/>
  <c r="I250" i="7"/>
  <c r="H250" i="7"/>
  <c r="G250" i="7"/>
  <c r="F250" i="7"/>
  <c r="E250" i="7"/>
  <c r="D250" i="7"/>
  <c r="K249" i="7"/>
  <c r="I249" i="7"/>
  <c r="H249" i="7"/>
  <c r="G249" i="7"/>
  <c r="F249" i="7"/>
  <c r="E249" i="7"/>
  <c r="D249" i="7"/>
  <c r="K248" i="7"/>
  <c r="I248" i="7"/>
  <c r="H248" i="7"/>
  <c r="G248" i="7"/>
  <c r="F248" i="7"/>
  <c r="E248" i="7"/>
  <c r="D248" i="7"/>
  <c r="K247" i="7"/>
  <c r="I247" i="7"/>
  <c r="H247" i="7"/>
  <c r="G247" i="7"/>
  <c r="F247" i="7"/>
  <c r="E247" i="7"/>
  <c r="D247" i="7"/>
  <c r="K245" i="7"/>
  <c r="I245" i="7"/>
  <c r="H245" i="7"/>
  <c r="G245" i="7"/>
  <c r="F245" i="7"/>
  <c r="E245" i="7"/>
  <c r="D245" i="7"/>
  <c r="K244" i="7"/>
  <c r="I244" i="7"/>
  <c r="H244" i="7"/>
  <c r="G244" i="7"/>
  <c r="F244" i="7"/>
  <c r="E244" i="7"/>
  <c r="D244" i="7"/>
  <c r="K243" i="7"/>
  <c r="I243" i="7"/>
  <c r="H243" i="7"/>
  <c r="G243" i="7"/>
  <c r="F243" i="7"/>
  <c r="E243" i="7"/>
  <c r="D243" i="7"/>
  <c r="K242" i="7"/>
  <c r="I242" i="7"/>
  <c r="H242" i="7"/>
  <c r="G242" i="7"/>
  <c r="F242" i="7"/>
  <c r="E242" i="7"/>
  <c r="D242" i="7"/>
  <c r="K241" i="7"/>
  <c r="I241" i="7"/>
  <c r="H241" i="7"/>
  <c r="G241" i="7"/>
  <c r="F241" i="7"/>
  <c r="E241" i="7"/>
  <c r="D241" i="7"/>
  <c r="K240" i="7"/>
  <c r="I240" i="7"/>
  <c r="H240" i="7"/>
  <c r="G240" i="7"/>
  <c r="F240" i="7"/>
  <c r="E240" i="7"/>
  <c r="D240" i="7"/>
  <c r="K239" i="7"/>
  <c r="I239" i="7"/>
  <c r="H239" i="7"/>
  <c r="G239" i="7"/>
  <c r="F239" i="7"/>
  <c r="E239" i="7"/>
  <c r="D239" i="7"/>
  <c r="K238" i="7"/>
  <c r="I238" i="7"/>
  <c r="H238" i="7"/>
  <c r="G238" i="7"/>
  <c r="F238" i="7"/>
  <c r="E238" i="7"/>
  <c r="D238" i="7"/>
  <c r="K237" i="7"/>
  <c r="I237" i="7"/>
  <c r="H237" i="7"/>
  <c r="G237" i="7"/>
  <c r="F237" i="7"/>
  <c r="E237" i="7"/>
  <c r="D237" i="7"/>
  <c r="K235" i="7"/>
  <c r="I235" i="7"/>
  <c r="H235" i="7"/>
  <c r="G235" i="7"/>
  <c r="F235" i="7"/>
  <c r="E235" i="7"/>
  <c r="D235" i="7"/>
  <c r="K234" i="7"/>
  <c r="I234" i="7"/>
  <c r="H234" i="7"/>
  <c r="G234" i="7"/>
  <c r="F234" i="7"/>
  <c r="E234" i="7"/>
  <c r="D234" i="7"/>
  <c r="K233" i="7"/>
  <c r="I233" i="7"/>
  <c r="H233" i="7"/>
  <c r="G233" i="7"/>
  <c r="F233" i="7"/>
  <c r="E233" i="7"/>
  <c r="D233" i="7"/>
  <c r="K232" i="7"/>
  <c r="I232" i="7"/>
  <c r="H232" i="7"/>
  <c r="G232" i="7"/>
  <c r="F232" i="7"/>
  <c r="E232" i="7"/>
  <c r="D232" i="7"/>
  <c r="K231" i="7"/>
  <c r="I231" i="7"/>
  <c r="H231" i="7"/>
  <c r="G231" i="7"/>
  <c r="F231" i="7"/>
  <c r="E231" i="7"/>
  <c r="D231" i="7"/>
  <c r="K230" i="7"/>
  <c r="I230" i="7"/>
  <c r="H230" i="7"/>
  <c r="G230" i="7"/>
  <c r="F230" i="7"/>
  <c r="E230" i="7"/>
  <c r="D230" i="7"/>
  <c r="K229" i="7"/>
  <c r="I229" i="7"/>
  <c r="H229" i="7"/>
  <c r="G229" i="7"/>
  <c r="F229" i="7"/>
  <c r="E229" i="7"/>
  <c r="D229" i="7"/>
  <c r="K228" i="7"/>
  <c r="I228" i="7"/>
  <c r="H228" i="7"/>
  <c r="G228" i="7"/>
  <c r="F228" i="7"/>
  <c r="E228" i="7"/>
  <c r="D228" i="7"/>
  <c r="K227" i="7"/>
  <c r="I227" i="7"/>
  <c r="H227" i="7"/>
  <c r="G227" i="7"/>
  <c r="F227" i="7"/>
  <c r="E227" i="7"/>
  <c r="D227" i="7"/>
  <c r="E218" i="7"/>
  <c r="E267" i="7" s="1"/>
  <c r="J216" i="7"/>
  <c r="L216" i="7" s="1"/>
  <c r="J215" i="7"/>
  <c r="L215" i="7" s="1"/>
  <c r="K214" i="7"/>
  <c r="I214" i="7"/>
  <c r="H214" i="7"/>
  <c r="G214" i="7"/>
  <c r="F214" i="7"/>
  <c r="D214" i="7"/>
  <c r="J213" i="7"/>
  <c r="L213" i="7" s="1"/>
  <c r="J212" i="7"/>
  <c r="L212" i="7" s="1"/>
  <c r="J211" i="7"/>
  <c r="J210" i="7"/>
  <c r="L210" i="7" s="1"/>
  <c r="J209" i="7"/>
  <c r="L209" i="7" s="1"/>
  <c r="J208" i="7"/>
  <c r="L208" i="7" s="1"/>
  <c r="J207" i="7"/>
  <c r="L207" i="7" s="1"/>
  <c r="J206" i="7"/>
  <c r="L206" i="7" s="1"/>
  <c r="K205" i="7"/>
  <c r="I205" i="7"/>
  <c r="H205" i="7"/>
  <c r="G205" i="7"/>
  <c r="F205" i="7"/>
  <c r="D205" i="7"/>
  <c r="J204" i="7"/>
  <c r="L204" i="7" s="1"/>
  <c r="J203" i="7"/>
  <c r="L203" i="7" s="1"/>
  <c r="J202" i="7"/>
  <c r="J201" i="7"/>
  <c r="L201" i="7" s="1"/>
  <c r="J200" i="7"/>
  <c r="L200" i="7" s="1"/>
  <c r="J199" i="7"/>
  <c r="L199" i="7" s="1"/>
  <c r="J197" i="7"/>
  <c r="L197" i="7" s="1"/>
  <c r="K196" i="7"/>
  <c r="I196" i="7"/>
  <c r="H196" i="7"/>
  <c r="G196" i="7"/>
  <c r="F196" i="7"/>
  <c r="D196" i="7"/>
  <c r="J195" i="7"/>
  <c r="L195" i="7" s="1"/>
  <c r="J194" i="7"/>
  <c r="L194" i="7" s="1"/>
  <c r="J193" i="7"/>
  <c r="K192" i="7"/>
  <c r="I192" i="7"/>
  <c r="H192" i="7"/>
  <c r="G192" i="7"/>
  <c r="F192" i="7"/>
  <c r="D192" i="7"/>
  <c r="J191" i="7"/>
  <c r="L191" i="7" s="1"/>
  <c r="J190" i="7"/>
  <c r="L190" i="7" s="1"/>
  <c r="J189" i="7"/>
  <c r="L189" i="7" s="1"/>
  <c r="J188" i="7"/>
  <c r="L188" i="7" s="1"/>
  <c r="J187" i="7"/>
  <c r="J186" i="7"/>
  <c r="L186" i="7" s="1"/>
  <c r="J185" i="7"/>
  <c r="L185" i="7" s="1"/>
  <c r="J184" i="7"/>
  <c r="L184" i="7" s="1"/>
  <c r="J183" i="7"/>
  <c r="L183" i="7" s="1"/>
  <c r="K182" i="7"/>
  <c r="I182" i="7"/>
  <c r="H182" i="7"/>
  <c r="G182" i="7"/>
  <c r="F182" i="7"/>
  <c r="D182" i="7"/>
  <c r="J181" i="7"/>
  <c r="L181" i="7" s="1"/>
  <c r="J180" i="7"/>
  <c r="L180" i="7" s="1"/>
  <c r="J178" i="7"/>
  <c r="L178" i="7" s="1"/>
  <c r="J177" i="7"/>
  <c r="L177" i="7" s="1"/>
  <c r="J176" i="7"/>
  <c r="L176" i="7" s="1"/>
  <c r="J175" i="7"/>
  <c r="L175" i="7" s="1"/>
  <c r="K174" i="7"/>
  <c r="I174" i="7"/>
  <c r="H174" i="7"/>
  <c r="G174" i="7"/>
  <c r="F174" i="7"/>
  <c r="D174" i="7"/>
  <c r="J173" i="7"/>
  <c r="L173" i="7" s="1"/>
  <c r="J172" i="7"/>
  <c r="L172" i="7" s="1"/>
  <c r="J171" i="7"/>
  <c r="L171" i="7" s="1"/>
  <c r="J170" i="7"/>
  <c r="L170" i="7" s="1"/>
  <c r="J169" i="7"/>
  <c r="L169" i="7" s="1"/>
  <c r="J168" i="7"/>
  <c r="L168" i="7" s="1"/>
  <c r="J167" i="7"/>
  <c r="L167" i="7" s="1"/>
  <c r="J166" i="7"/>
  <c r="L166" i="7" s="1"/>
  <c r="J165" i="7"/>
  <c r="J164" i="7"/>
  <c r="L164" i="7" s="1"/>
  <c r="K163" i="7"/>
  <c r="K179" i="7" s="1"/>
  <c r="I163" i="7"/>
  <c r="I179" i="7" s="1"/>
  <c r="H163" i="7"/>
  <c r="H179" i="7" s="1"/>
  <c r="G163" i="7"/>
  <c r="G179" i="7" s="1"/>
  <c r="F163" i="7"/>
  <c r="F179" i="7" s="1"/>
  <c r="D163" i="7"/>
  <c r="D179" i="7" s="1"/>
  <c r="J162" i="7"/>
  <c r="L162" i="7" s="1"/>
  <c r="J161" i="7"/>
  <c r="L161" i="7" s="1"/>
  <c r="J160" i="7"/>
  <c r="L160" i="7" s="1"/>
  <c r="J159" i="7"/>
  <c r="L159" i="7" s="1"/>
  <c r="J158" i="7"/>
  <c r="L158" i="7" s="1"/>
  <c r="J157" i="7"/>
  <c r="J155" i="7"/>
  <c r="L155" i="7" s="1"/>
  <c r="J154" i="7"/>
  <c r="L154" i="7" s="1"/>
  <c r="K153" i="7"/>
  <c r="I153" i="7"/>
  <c r="H153" i="7"/>
  <c r="G153" i="7"/>
  <c r="F153" i="7"/>
  <c r="D153" i="7"/>
  <c r="J152" i="7"/>
  <c r="L152" i="7" s="1"/>
  <c r="J151" i="7"/>
  <c r="L151" i="7" s="1"/>
  <c r="J150" i="7"/>
  <c r="L150" i="7" s="1"/>
  <c r="J149" i="7"/>
  <c r="L149" i="7" s="1"/>
  <c r="J148" i="7"/>
  <c r="L148" i="7" s="1"/>
  <c r="J147" i="7"/>
  <c r="L147" i="7" s="1"/>
  <c r="J146" i="7"/>
  <c r="L146" i="7" s="1"/>
  <c r="J145" i="7"/>
  <c r="J144" i="7"/>
  <c r="L144" i="7" s="1"/>
  <c r="K143" i="7"/>
  <c r="I143" i="7"/>
  <c r="H143" i="7"/>
  <c r="G143" i="7"/>
  <c r="F143" i="7"/>
  <c r="D143" i="7"/>
  <c r="J142" i="7"/>
  <c r="L142" i="7" s="1"/>
  <c r="J141" i="7"/>
  <c r="L141" i="7" s="1"/>
  <c r="J140" i="7"/>
  <c r="L140" i="7" s="1"/>
  <c r="J139" i="7"/>
  <c r="L139" i="7" s="1"/>
  <c r="J138" i="7"/>
  <c r="L138" i="7" s="1"/>
  <c r="J137" i="7"/>
  <c r="L137" i="7" s="1"/>
  <c r="J136" i="7"/>
  <c r="J134" i="7"/>
  <c r="L134" i="7" s="1"/>
  <c r="J133" i="7"/>
  <c r="L133" i="7" s="1"/>
  <c r="J132" i="7"/>
  <c r="L132" i="7" s="1"/>
  <c r="J131" i="7"/>
  <c r="L131" i="7" s="1"/>
  <c r="K130" i="7"/>
  <c r="I130" i="7"/>
  <c r="H130" i="7"/>
  <c r="G130" i="7"/>
  <c r="F130" i="7"/>
  <c r="D130" i="7"/>
  <c r="J129" i="7"/>
  <c r="L129" i="7" s="1"/>
  <c r="J128" i="7"/>
  <c r="L128" i="7" s="1"/>
  <c r="J127" i="7"/>
  <c r="L127" i="7" s="1"/>
  <c r="J126" i="7"/>
  <c r="L126" i="7" s="1"/>
  <c r="J125" i="7"/>
  <c r="L125" i="7" s="1"/>
  <c r="J124" i="7"/>
  <c r="L124" i="7" s="1"/>
  <c r="J123" i="7"/>
  <c r="L123" i="7" s="1"/>
  <c r="J122" i="7"/>
  <c r="J121" i="7"/>
  <c r="L121" i="7" s="1"/>
  <c r="K120" i="7"/>
  <c r="I120" i="7"/>
  <c r="H120" i="7"/>
  <c r="G120" i="7"/>
  <c r="F120" i="7"/>
  <c r="D120" i="7"/>
  <c r="J119" i="7"/>
  <c r="L119" i="7" s="1"/>
  <c r="J118" i="7"/>
  <c r="L118" i="7" s="1"/>
  <c r="J117" i="7"/>
  <c r="L117" i="7" s="1"/>
  <c r="J116" i="7"/>
  <c r="L116" i="7" s="1"/>
  <c r="J115" i="7"/>
  <c r="L115" i="7" s="1"/>
  <c r="J114" i="7"/>
  <c r="J112" i="7"/>
  <c r="L112" i="7" s="1"/>
  <c r="J111" i="7"/>
  <c r="L111" i="7" s="1"/>
  <c r="J110" i="7"/>
  <c r="L110" i="7" s="1"/>
  <c r="J109" i="7"/>
  <c r="L109" i="7" s="1"/>
  <c r="K108" i="7"/>
  <c r="I108" i="7"/>
  <c r="H108" i="7"/>
  <c r="G108" i="7"/>
  <c r="F108" i="7"/>
  <c r="D108" i="7"/>
  <c r="J107" i="7"/>
  <c r="L107" i="7" s="1"/>
  <c r="J106" i="7"/>
  <c r="L106" i="7" s="1"/>
  <c r="J105" i="7"/>
  <c r="L105" i="7" s="1"/>
  <c r="J104" i="7"/>
  <c r="L104" i="7" s="1"/>
  <c r="J103" i="7"/>
  <c r="L103" i="7" s="1"/>
  <c r="J102" i="7"/>
  <c r="L102" i="7" s="1"/>
  <c r="J101" i="7"/>
  <c r="L101" i="7" s="1"/>
  <c r="J100" i="7"/>
  <c r="L100" i="7" s="1"/>
  <c r="J99" i="7"/>
  <c r="L99" i="7" s="1"/>
  <c r="J98" i="7"/>
  <c r="L98" i="7" s="1"/>
  <c r="J97" i="7"/>
  <c r="L97" i="7" s="1"/>
  <c r="K96" i="7"/>
  <c r="I96" i="7"/>
  <c r="H96" i="7"/>
  <c r="G96" i="7"/>
  <c r="F96" i="7"/>
  <c r="D96" i="7"/>
  <c r="J95" i="7"/>
  <c r="L95" i="7" s="1"/>
  <c r="J94" i="7"/>
  <c r="L94" i="7" s="1"/>
  <c r="J93" i="7"/>
  <c r="L93" i="7" s="1"/>
  <c r="J92" i="7"/>
  <c r="L92" i="7" s="1"/>
  <c r="J91" i="7"/>
  <c r="L91" i="7" s="1"/>
  <c r="J90" i="7"/>
  <c r="L90" i="7" s="1"/>
  <c r="J89" i="7"/>
  <c r="J87" i="7"/>
  <c r="L87" i="7" s="1"/>
  <c r="J86" i="7"/>
  <c r="L86" i="7" s="1"/>
  <c r="J85" i="7"/>
  <c r="L85" i="7" s="1"/>
  <c r="J84" i="7"/>
  <c r="L84" i="7" s="1"/>
  <c r="J83" i="7"/>
  <c r="L83" i="7" s="1"/>
  <c r="J82" i="7"/>
  <c r="L82" i="7" s="1"/>
  <c r="J81" i="7"/>
  <c r="L81" i="7" s="1"/>
  <c r="J80" i="7"/>
  <c r="L80" i="7" s="1"/>
  <c r="K79" i="7"/>
  <c r="I79" i="7"/>
  <c r="H79" i="7"/>
  <c r="G79" i="7"/>
  <c r="F79" i="7"/>
  <c r="D79" i="7"/>
  <c r="J78" i="7"/>
  <c r="L78" i="7" s="1"/>
  <c r="J77" i="7"/>
  <c r="K76" i="7"/>
  <c r="I76" i="7"/>
  <c r="H76" i="7"/>
  <c r="G76" i="7"/>
  <c r="F76" i="7"/>
  <c r="D76" i="7"/>
  <c r="J75" i="7"/>
  <c r="J74" i="7"/>
  <c r="L74" i="7" s="1"/>
  <c r="J73" i="7"/>
  <c r="L73" i="7" s="1"/>
  <c r="J72" i="7"/>
  <c r="L72" i="7" s="1"/>
  <c r="J71" i="7"/>
  <c r="L71" i="7" s="1"/>
  <c r="J70" i="7"/>
  <c r="L70" i="7" s="1"/>
  <c r="J69" i="7"/>
  <c r="L69" i="7" s="1"/>
  <c r="J68" i="7"/>
  <c r="L68" i="7" s="1"/>
  <c r="J67" i="7"/>
  <c r="L67" i="7" s="1"/>
  <c r="J66" i="7"/>
  <c r="L66" i="7" s="1"/>
  <c r="J65" i="7"/>
  <c r="L65" i="7" s="1"/>
  <c r="J64" i="7"/>
  <c r="L64" i="7" s="1"/>
  <c r="J63" i="7"/>
  <c r="J62" i="7"/>
  <c r="L62" i="7" s="1"/>
  <c r="K61" i="7"/>
  <c r="I61" i="7"/>
  <c r="H61" i="7"/>
  <c r="G61" i="7"/>
  <c r="F61" i="7"/>
  <c r="D61" i="7"/>
  <c r="J60" i="7"/>
  <c r="L60" i="7" s="1"/>
  <c r="J59" i="7"/>
  <c r="L59" i="7" s="1"/>
  <c r="J58" i="7"/>
  <c r="L58" i="7" s="1"/>
  <c r="J57" i="7"/>
  <c r="L57" i="7" s="1"/>
  <c r="J56" i="7"/>
  <c r="L56" i="7" s="1"/>
  <c r="J55" i="7"/>
  <c r="L55" i="7" s="1"/>
  <c r="J54" i="7"/>
  <c r="J239" i="7" s="1"/>
  <c r="J53" i="7"/>
  <c r="J238" i="7" s="1"/>
  <c r="J52" i="7"/>
  <c r="L52" i="7" s="1"/>
  <c r="K51" i="7"/>
  <c r="I51" i="7"/>
  <c r="H51" i="7"/>
  <c r="G51" i="7"/>
  <c r="F51" i="7"/>
  <c r="D51" i="7"/>
  <c r="J50" i="7"/>
  <c r="L50" i="7" s="1"/>
  <c r="J49" i="7"/>
  <c r="K48" i="7"/>
  <c r="I48" i="7"/>
  <c r="H48" i="7"/>
  <c r="G48" i="7"/>
  <c r="F48" i="7"/>
  <c r="D48" i="7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255" i="7" s="1"/>
  <c r="J40" i="7"/>
  <c r="L40" i="7" s="1"/>
  <c r="J39" i="7"/>
  <c r="L39" i="7" s="1"/>
  <c r="J38" i="7"/>
  <c r="L38" i="7" s="1"/>
  <c r="J37" i="7"/>
  <c r="L37" i="7" s="1"/>
  <c r="J36" i="7"/>
  <c r="L36" i="7" s="1"/>
  <c r="J35" i="7"/>
  <c r="L35" i="7" s="1"/>
  <c r="J34" i="7"/>
  <c r="J33" i="7"/>
  <c r="L33" i="7" s="1"/>
  <c r="K32" i="7"/>
  <c r="I32" i="7"/>
  <c r="H32" i="7"/>
  <c r="G32" i="7"/>
  <c r="F32" i="7"/>
  <c r="D32" i="7"/>
  <c r="J31" i="7"/>
  <c r="L31" i="7" s="1"/>
  <c r="J29" i="7"/>
  <c r="L29" i="7" s="1"/>
  <c r="J27" i="7"/>
  <c r="L27" i="7" s="1"/>
  <c r="J25" i="7"/>
  <c r="L25" i="7" s="1"/>
  <c r="K24" i="7"/>
  <c r="K236" i="7" s="1"/>
  <c r="I24" i="7"/>
  <c r="I236" i="7" s="1"/>
  <c r="H24" i="7"/>
  <c r="H236" i="7" s="1"/>
  <c r="G24" i="7"/>
  <c r="G236" i="7" s="1"/>
  <c r="F24" i="7"/>
  <c r="F236" i="7" s="1"/>
  <c r="E24" i="7"/>
  <c r="E236" i="7" s="1"/>
  <c r="D24" i="7"/>
  <c r="D236" i="7" s="1"/>
  <c r="J23" i="7"/>
  <c r="J22" i="7"/>
  <c r="L22" i="7" s="1"/>
  <c r="J21" i="7"/>
  <c r="L21" i="7" s="1"/>
  <c r="J20" i="7"/>
  <c r="L20" i="7" s="1"/>
  <c r="J19" i="7"/>
  <c r="L19" i="7" s="1"/>
  <c r="J18" i="7"/>
  <c r="L18" i="7" s="1"/>
  <c r="J17" i="7"/>
  <c r="L17" i="7" s="1"/>
  <c r="J16" i="7"/>
  <c r="L16" i="7" s="1"/>
  <c r="J15" i="7"/>
  <c r="L15" i="7" s="1"/>
  <c r="J14" i="7"/>
  <c r="L14" i="7" s="1"/>
  <c r="J13" i="7"/>
  <c r="J12" i="7"/>
  <c r="L12" i="7" s="1"/>
  <c r="J11" i="7"/>
  <c r="L11" i="7" s="1"/>
  <c r="J10" i="7"/>
  <c r="J9" i="7"/>
  <c r="J231" i="7" s="1"/>
  <c r="J8" i="7"/>
  <c r="J230" i="7" s="1"/>
  <c r="J7" i="7"/>
  <c r="J229" i="7" s="1"/>
  <c r="J6" i="7"/>
  <c r="J5" i="7"/>
  <c r="F187" i="6"/>
  <c r="F187" i="8" s="1"/>
  <c r="L108" i="8" l="1"/>
  <c r="L113" i="8" s="1"/>
  <c r="J187" i="8"/>
  <c r="F192" i="8"/>
  <c r="F257" i="8"/>
  <c r="F344" i="8"/>
  <c r="J88" i="8"/>
  <c r="L88" i="8"/>
  <c r="L205" i="8"/>
  <c r="L217" i="8" s="1"/>
  <c r="J217" i="8"/>
  <c r="J246" i="8"/>
  <c r="J79" i="7"/>
  <c r="J182" i="7"/>
  <c r="J257" i="7"/>
  <c r="L187" i="7"/>
  <c r="L192" i="7" s="1"/>
  <c r="F135" i="7"/>
  <c r="H135" i="7"/>
  <c r="J143" i="7"/>
  <c r="F156" i="7"/>
  <c r="H156" i="7"/>
  <c r="F246" i="7"/>
  <c r="H246" i="7"/>
  <c r="L53" i="7"/>
  <c r="L54" i="7"/>
  <c r="L77" i="7"/>
  <c r="L79" i="7" s="1"/>
  <c r="J120" i="7"/>
  <c r="D156" i="7"/>
  <c r="G156" i="7"/>
  <c r="I156" i="7"/>
  <c r="G246" i="7"/>
  <c r="I246" i="7"/>
  <c r="J48" i="7"/>
  <c r="D262" i="7"/>
  <c r="J263" i="7"/>
  <c r="J228" i="7"/>
  <c r="L34" i="7"/>
  <c r="L41" i="7"/>
  <c r="D113" i="7"/>
  <c r="G113" i="7"/>
  <c r="I113" i="7"/>
  <c r="L114" i="7"/>
  <c r="L120" i="7" s="1"/>
  <c r="L136" i="7"/>
  <c r="L143" i="7" s="1"/>
  <c r="J51" i="7"/>
  <c r="L49" i="7"/>
  <c r="L51" i="7" s="1"/>
  <c r="J227" i="7"/>
  <c r="J235" i="7"/>
  <c r="J237" i="7"/>
  <c r="J32" i="7"/>
  <c r="D88" i="7"/>
  <c r="G88" i="7"/>
  <c r="I88" i="7"/>
  <c r="J76" i="7"/>
  <c r="L63" i="7"/>
  <c r="J261" i="7"/>
  <c r="L75" i="7"/>
  <c r="J130" i="7"/>
  <c r="L122" i="7"/>
  <c r="L130" i="7" s="1"/>
  <c r="J196" i="7"/>
  <c r="L193" i="7"/>
  <c r="L196" i="7" s="1"/>
  <c r="J259" i="7"/>
  <c r="J251" i="7"/>
  <c r="J252" i="7"/>
  <c r="J253" i="7"/>
  <c r="H88" i="7"/>
  <c r="J258" i="7"/>
  <c r="J61" i="7"/>
  <c r="J264" i="7"/>
  <c r="J265" i="7"/>
  <c r="D266" i="7"/>
  <c r="F113" i="7"/>
  <c r="H113" i="7"/>
  <c r="D135" i="7"/>
  <c r="G135" i="7"/>
  <c r="I135" i="7"/>
  <c r="K135" i="7"/>
  <c r="D198" i="7"/>
  <c r="G198" i="7"/>
  <c r="I198" i="7"/>
  <c r="H198" i="7"/>
  <c r="F266" i="7"/>
  <c r="H266" i="7"/>
  <c r="D217" i="7"/>
  <c r="J214" i="7"/>
  <c r="H262" i="7"/>
  <c r="J205" i="7"/>
  <c r="L211" i="7"/>
  <c r="L214" i="7" s="1"/>
  <c r="J233" i="7"/>
  <c r="J234" i="7"/>
  <c r="K198" i="7"/>
  <c r="L32" i="7"/>
  <c r="L202" i="7"/>
  <c r="L205" i="7" s="1"/>
  <c r="F198" i="7"/>
  <c r="J108" i="7"/>
  <c r="L108" i="7"/>
  <c r="J96" i="7"/>
  <c r="L89" i="7"/>
  <c r="L96" i="7" s="1"/>
  <c r="F88" i="7"/>
  <c r="F262" i="7"/>
  <c r="J242" i="7"/>
  <c r="K156" i="7"/>
  <c r="K113" i="7"/>
  <c r="K88" i="7"/>
  <c r="J24" i="7"/>
  <c r="J236" i="7" s="1"/>
  <c r="J174" i="7"/>
  <c r="L165" i="7"/>
  <c r="L174" i="7" s="1"/>
  <c r="J192" i="7"/>
  <c r="H217" i="7"/>
  <c r="J247" i="7"/>
  <c r="J248" i="7"/>
  <c r="J249" i="7"/>
  <c r="J250" i="7"/>
  <c r="J254" i="7"/>
  <c r="J256" i="7"/>
  <c r="J260" i="7"/>
  <c r="L5" i="7"/>
  <c r="L6" i="7"/>
  <c r="L7" i="7"/>
  <c r="L8" i="7"/>
  <c r="L9" i="7"/>
  <c r="L10" i="7"/>
  <c r="L13" i="7"/>
  <c r="L23" i="7"/>
  <c r="J153" i="7"/>
  <c r="L145" i="7"/>
  <c r="L153" i="7" s="1"/>
  <c r="J163" i="7"/>
  <c r="L157" i="7"/>
  <c r="L163" i="7" s="1"/>
  <c r="L182" i="7"/>
  <c r="G266" i="7"/>
  <c r="I266" i="7"/>
  <c r="K266" i="7"/>
  <c r="K246" i="7"/>
  <c r="G262" i="7"/>
  <c r="I262" i="7"/>
  <c r="K262" i="7"/>
  <c r="F217" i="7"/>
  <c r="J232" i="7"/>
  <c r="J240" i="7"/>
  <c r="J241" i="7"/>
  <c r="J243" i="7"/>
  <c r="J244" i="7"/>
  <c r="J245" i="7"/>
  <c r="D246" i="7"/>
  <c r="G217" i="7"/>
  <c r="I217" i="7"/>
  <c r="K217" i="7"/>
  <c r="E218" i="6"/>
  <c r="E267" i="6" s="1"/>
  <c r="J217" i="7" l="1"/>
  <c r="L156" i="7"/>
  <c r="L113" i="7"/>
  <c r="J113" i="7"/>
  <c r="F317" i="8"/>
  <c r="F262" i="8"/>
  <c r="F198" i="8"/>
  <c r="F218" i="8" s="1"/>
  <c r="F267" i="8" s="1"/>
  <c r="J192" i="8"/>
  <c r="L187" i="8"/>
  <c r="L192" i="8" s="1"/>
  <c r="L198" i="8" s="1"/>
  <c r="L218" i="8" s="1"/>
  <c r="J257" i="8"/>
  <c r="J156" i="7"/>
  <c r="L61" i="7"/>
  <c r="J179" i="7"/>
  <c r="H218" i="7"/>
  <c r="H267" i="7" s="1"/>
  <c r="G218" i="7"/>
  <c r="G267" i="7" s="1"/>
  <c r="J88" i="7"/>
  <c r="J246" i="7"/>
  <c r="J266" i="7"/>
  <c r="J135" i="7"/>
  <c r="I218" i="7"/>
  <c r="I267" i="7" s="1"/>
  <c r="J198" i="7"/>
  <c r="L135" i="7"/>
  <c r="L48" i="7"/>
  <c r="L217" i="7"/>
  <c r="L76" i="7"/>
  <c r="D218" i="7"/>
  <c r="D267" i="7" s="1"/>
  <c r="L179" i="7"/>
  <c r="F218" i="7"/>
  <c r="F267" i="7" s="1"/>
  <c r="L198" i="7"/>
  <c r="K218" i="7"/>
  <c r="K267" i="7" s="1"/>
  <c r="L24" i="7"/>
  <c r="J262" i="7"/>
  <c r="E228" i="6"/>
  <c r="E234" i="6"/>
  <c r="K265" i="6"/>
  <c r="I265" i="6"/>
  <c r="H265" i="6"/>
  <c r="G265" i="6"/>
  <c r="F265" i="6"/>
  <c r="E265" i="6"/>
  <c r="D265" i="6"/>
  <c r="K264" i="6"/>
  <c r="I264" i="6"/>
  <c r="H264" i="6"/>
  <c r="G264" i="6"/>
  <c r="F264" i="6"/>
  <c r="E264" i="6"/>
  <c r="D264" i="6"/>
  <c r="K263" i="6"/>
  <c r="I263" i="6"/>
  <c r="H263" i="6"/>
  <c r="G263" i="6"/>
  <c r="F263" i="6"/>
  <c r="E263" i="6"/>
  <c r="D263" i="6"/>
  <c r="K261" i="6"/>
  <c r="I261" i="6"/>
  <c r="H261" i="6"/>
  <c r="G261" i="6"/>
  <c r="F261" i="6"/>
  <c r="E261" i="6"/>
  <c r="D261" i="6"/>
  <c r="K260" i="6"/>
  <c r="I260" i="6"/>
  <c r="H260" i="6"/>
  <c r="G260" i="6"/>
  <c r="F260" i="6"/>
  <c r="E260" i="6"/>
  <c r="D260" i="6"/>
  <c r="K259" i="6"/>
  <c r="I259" i="6"/>
  <c r="H259" i="6"/>
  <c r="G259" i="6"/>
  <c r="F259" i="6"/>
  <c r="E259" i="6"/>
  <c r="D259" i="6"/>
  <c r="K258" i="6"/>
  <c r="I258" i="6"/>
  <c r="H258" i="6"/>
  <c r="G258" i="6"/>
  <c r="F258" i="6"/>
  <c r="E258" i="6"/>
  <c r="D258" i="6"/>
  <c r="K257" i="6"/>
  <c r="I257" i="6"/>
  <c r="H257" i="6"/>
  <c r="G257" i="6"/>
  <c r="F257" i="6"/>
  <c r="E257" i="6"/>
  <c r="D257" i="6"/>
  <c r="K256" i="6"/>
  <c r="I256" i="6"/>
  <c r="H256" i="6"/>
  <c r="G256" i="6"/>
  <c r="F256" i="6"/>
  <c r="E256" i="6"/>
  <c r="D256" i="6"/>
  <c r="K255" i="6"/>
  <c r="I255" i="6"/>
  <c r="H255" i="6"/>
  <c r="G255" i="6"/>
  <c r="F255" i="6"/>
  <c r="E255" i="6"/>
  <c r="D255" i="6"/>
  <c r="K254" i="6"/>
  <c r="I254" i="6"/>
  <c r="H254" i="6"/>
  <c r="G254" i="6"/>
  <c r="F254" i="6"/>
  <c r="E254" i="6"/>
  <c r="D254" i="6"/>
  <c r="K253" i="6"/>
  <c r="I253" i="6"/>
  <c r="H253" i="6"/>
  <c r="G253" i="6"/>
  <c r="F253" i="6"/>
  <c r="E253" i="6"/>
  <c r="D253" i="6"/>
  <c r="K252" i="6"/>
  <c r="I252" i="6"/>
  <c r="H252" i="6"/>
  <c r="G252" i="6"/>
  <c r="F252" i="6"/>
  <c r="E252" i="6"/>
  <c r="D252" i="6"/>
  <c r="K251" i="6"/>
  <c r="I251" i="6"/>
  <c r="H251" i="6"/>
  <c r="G251" i="6"/>
  <c r="F251" i="6"/>
  <c r="E251" i="6"/>
  <c r="D251" i="6"/>
  <c r="K250" i="6"/>
  <c r="I250" i="6"/>
  <c r="H250" i="6"/>
  <c r="G250" i="6"/>
  <c r="F250" i="6"/>
  <c r="E250" i="6"/>
  <c r="D250" i="6"/>
  <c r="K249" i="6"/>
  <c r="I249" i="6"/>
  <c r="H249" i="6"/>
  <c r="G249" i="6"/>
  <c r="F249" i="6"/>
  <c r="E249" i="6"/>
  <c r="D249" i="6"/>
  <c r="K248" i="6"/>
  <c r="I248" i="6"/>
  <c r="H248" i="6"/>
  <c r="G248" i="6"/>
  <c r="F248" i="6"/>
  <c r="E248" i="6"/>
  <c r="D248" i="6"/>
  <c r="K247" i="6"/>
  <c r="I247" i="6"/>
  <c r="H247" i="6"/>
  <c r="G247" i="6"/>
  <c r="F247" i="6"/>
  <c r="E247" i="6"/>
  <c r="D247" i="6"/>
  <c r="K245" i="6"/>
  <c r="I245" i="6"/>
  <c r="H245" i="6"/>
  <c r="G245" i="6"/>
  <c r="F245" i="6"/>
  <c r="E245" i="6"/>
  <c r="D245" i="6"/>
  <c r="K244" i="6"/>
  <c r="I244" i="6"/>
  <c r="H244" i="6"/>
  <c r="G244" i="6"/>
  <c r="F244" i="6"/>
  <c r="E244" i="6"/>
  <c r="D244" i="6"/>
  <c r="K243" i="6"/>
  <c r="I243" i="6"/>
  <c r="H243" i="6"/>
  <c r="G243" i="6"/>
  <c r="F243" i="6"/>
  <c r="E243" i="6"/>
  <c r="D243" i="6"/>
  <c r="K242" i="6"/>
  <c r="I242" i="6"/>
  <c r="H242" i="6"/>
  <c r="G242" i="6"/>
  <c r="F242" i="6"/>
  <c r="E242" i="6"/>
  <c r="D242" i="6"/>
  <c r="K241" i="6"/>
  <c r="I241" i="6"/>
  <c r="H241" i="6"/>
  <c r="G241" i="6"/>
  <c r="F241" i="6"/>
  <c r="E241" i="6"/>
  <c r="D241" i="6"/>
  <c r="K240" i="6"/>
  <c r="I240" i="6"/>
  <c r="H240" i="6"/>
  <c r="G240" i="6"/>
  <c r="F240" i="6"/>
  <c r="E240" i="6"/>
  <c r="D240" i="6"/>
  <c r="K239" i="6"/>
  <c r="I239" i="6"/>
  <c r="H239" i="6"/>
  <c r="G239" i="6"/>
  <c r="F239" i="6"/>
  <c r="E239" i="6"/>
  <c r="D239" i="6"/>
  <c r="K238" i="6"/>
  <c r="I238" i="6"/>
  <c r="H238" i="6"/>
  <c r="G238" i="6"/>
  <c r="F238" i="6"/>
  <c r="E238" i="6"/>
  <c r="D238" i="6"/>
  <c r="K237" i="6"/>
  <c r="I237" i="6"/>
  <c r="H237" i="6"/>
  <c r="G237" i="6"/>
  <c r="F237" i="6"/>
  <c r="E237" i="6"/>
  <c r="D237" i="6"/>
  <c r="K235" i="6"/>
  <c r="I235" i="6"/>
  <c r="H235" i="6"/>
  <c r="G235" i="6"/>
  <c r="F235" i="6"/>
  <c r="E235" i="6"/>
  <c r="D235" i="6"/>
  <c r="K234" i="6"/>
  <c r="I234" i="6"/>
  <c r="H234" i="6"/>
  <c r="G234" i="6"/>
  <c r="F234" i="6"/>
  <c r="D234" i="6"/>
  <c r="K233" i="6"/>
  <c r="I233" i="6"/>
  <c r="H233" i="6"/>
  <c r="G233" i="6"/>
  <c r="F233" i="6"/>
  <c r="E233" i="6"/>
  <c r="D233" i="6"/>
  <c r="K232" i="6"/>
  <c r="I232" i="6"/>
  <c r="H232" i="6"/>
  <c r="G232" i="6"/>
  <c r="F232" i="6"/>
  <c r="D232" i="6"/>
  <c r="K231" i="6"/>
  <c r="I231" i="6"/>
  <c r="H231" i="6"/>
  <c r="G231" i="6"/>
  <c r="F231" i="6"/>
  <c r="E231" i="6"/>
  <c r="D231" i="6"/>
  <c r="K230" i="6"/>
  <c r="I230" i="6"/>
  <c r="H230" i="6"/>
  <c r="G230" i="6"/>
  <c r="F230" i="6"/>
  <c r="E230" i="6"/>
  <c r="D230" i="6"/>
  <c r="K229" i="6"/>
  <c r="I229" i="6"/>
  <c r="H229" i="6"/>
  <c r="G229" i="6"/>
  <c r="F229" i="6"/>
  <c r="E229" i="6"/>
  <c r="D229" i="6"/>
  <c r="K228" i="6"/>
  <c r="I228" i="6"/>
  <c r="H228" i="6"/>
  <c r="G228" i="6"/>
  <c r="F228" i="6"/>
  <c r="D228" i="6"/>
  <c r="K227" i="6"/>
  <c r="I227" i="6"/>
  <c r="H227" i="6"/>
  <c r="G227" i="6"/>
  <c r="F227" i="6"/>
  <c r="E227" i="6"/>
  <c r="D227" i="6"/>
  <c r="J216" i="6"/>
  <c r="L216" i="6" s="1"/>
  <c r="J215" i="6"/>
  <c r="L215" i="6" s="1"/>
  <c r="K214" i="6"/>
  <c r="I214" i="6"/>
  <c r="H214" i="6"/>
  <c r="G214" i="6"/>
  <c r="F214" i="6"/>
  <c r="D214" i="6"/>
  <c r="J213" i="6"/>
  <c r="J212" i="6"/>
  <c r="J211" i="6"/>
  <c r="J210" i="6"/>
  <c r="L210" i="6" s="1"/>
  <c r="J209" i="6"/>
  <c r="L209" i="6" s="1"/>
  <c r="J208" i="6"/>
  <c r="J207" i="6"/>
  <c r="L207" i="6" s="1"/>
  <c r="J206" i="6"/>
  <c r="K205" i="6"/>
  <c r="I205" i="6"/>
  <c r="H205" i="6"/>
  <c r="G205" i="6"/>
  <c r="F205" i="6"/>
  <c r="D205" i="6"/>
  <c r="J204" i="6"/>
  <c r="L204" i="6" s="1"/>
  <c r="J203" i="6"/>
  <c r="L203" i="6" s="1"/>
  <c r="J202" i="6"/>
  <c r="L202" i="6" s="1"/>
  <c r="J201" i="6"/>
  <c r="L201" i="6" s="1"/>
  <c r="J200" i="6"/>
  <c r="L200" i="6" s="1"/>
  <c r="J199" i="6"/>
  <c r="L199" i="6" s="1"/>
  <c r="J197" i="6"/>
  <c r="K196" i="6"/>
  <c r="I196" i="6"/>
  <c r="H196" i="6"/>
  <c r="G196" i="6"/>
  <c r="F196" i="6"/>
  <c r="D196" i="6"/>
  <c r="J195" i="6"/>
  <c r="J194" i="6"/>
  <c r="L194" i="6" s="1"/>
  <c r="J193" i="6"/>
  <c r="K192" i="6"/>
  <c r="I192" i="6"/>
  <c r="H192" i="6"/>
  <c r="G192" i="6"/>
  <c r="F192" i="6"/>
  <c r="D192" i="6"/>
  <c r="J191" i="6"/>
  <c r="L191" i="6" s="1"/>
  <c r="J190" i="6"/>
  <c r="L190" i="6" s="1"/>
  <c r="J189" i="6"/>
  <c r="L189" i="6" s="1"/>
  <c r="J188" i="6"/>
  <c r="L188" i="6" s="1"/>
  <c r="J187" i="6"/>
  <c r="J186" i="6"/>
  <c r="J185" i="6"/>
  <c r="L185" i="6" s="1"/>
  <c r="J184" i="6"/>
  <c r="L184" i="6" s="1"/>
  <c r="J183" i="6"/>
  <c r="L183" i="6" s="1"/>
  <c r="K182" i="6"/>
  <c r="I182" i="6"/>
  <c r="H182" i="6"/>
  <c r="G182" i="6"/>
  <c r="F182" i="6"/>
  <c r="D182" i="6"/>
  <c r="J181" i="6"/>
  <c r="L181" i="6" s="1"/>
  <c r="J180" i="6"/>
  <c r="L180" i="6" s="1"/>
  <c r="J178" i="6"/>
  <c r="L178" i="6" s="1"/>
  <c r="J177" i="6"/>
  <c r="L177" i="6" s="1"/>
  <c r="J176" i="6"/>
  <c r="L176" i="6" s="1"/>
  <c r="J175" i="6"/>
  <c r="L175" i="6" s="1"/>
  <c r="K174" i="6"/>
  <c r="I174" i="6"/>
  <c r="H174" i="6"/>
  <c r="G174" i="6"/>
  <c r="F174" i="6"/>
  <c r="D174" i="6"/>
  <c r="J173" i="6"/>
  <c r="L173" i="6" s="1"/>
  <c r="J172" i="6"/>
  <c r="L172" i="6" s="1"/>
  <c r="J171" i="6"/>
  <c r="L171" i="6" s="1"/>
  <c r="J170" i="6"/>
  <c r="L170" i="6" s="1"/>
  <c r="J169" i="6"/>
  <c r="J168" i="6"/>
  <c r="L168" i="6" s="1"/>
  <c r="J167" i="6"/>
  <c r="J166" i="6"/>
  <c r="L166" i="6" s="1"/>
  <c r="J165" i="6"/>
  <c r="J164" i="6"/>
  <c r="L164" i="6" s="1"/>
  <c r="K163" i="6"/>
  <c r="I163" i="6"/>
  <c r="I179" i="6" s="1"/>
  <c r="H163" i="6"/>
  <c r="H179" i="6" s="1"/>
  <c r="G163" i="6"/>
  <c r="G179" i="6" s="1"/>
  <c r="F163" i="6"/>
  <c r="F179" i="6" s="1"/>
  <c r="D163" i="6"/>
  <c r="D179" i="6" s="1"/>
  <c r="J162" i="6"/>
  <c r="L162" i="6" s="1"/>
  <c r="J161" i="6"/>
  <c r="L161" i="6" s="1"/>
  <c r="J160" i="6"/>
  <c r="L160" i="6" s="1"/>
  <c r="J159" i="6"/>
  <c r="L159" i="6" s="1"/>
  <c r="J158" i="6"/>
  <c r="L158" i="6" s="1"/>
  <c r="J157" i="6"/>
  <c r="J155" i="6"/>
  <c r="L155" i="6" s="1"/>
  <c r="J154" i="6"/>
  <c r="L154" i="6" s="1"/>
  <c r="K153" i="6"/>
  <c r="I153" i="6"/>
  <c r="H153" i="6"/>
  <c r="G153" i="6"/>
  <c r="F153" i="6"/>
  <c r="D153" i="6"/>
  <c r="J152" i="6"/>
  <c r="L152" i="6" s="1"/>
  <c r="J151" i="6"/>
  <c r="L151" i="6" s="1"/>
  <c r="J150" i="6"/>
  <c r="L150" i="6" s="1"/>
  <c r="J149" i="6"/>
  <c r="L149" i="6" s="1"/>
  <c r="J148" i="6"/>
  <c r="L148" i="6" s="1"/>
  <c r="J147" i="6"/>
  <c r="L147" i="6" s="1"/>
  <c r="J146" i="6"/>
  <c r="L146" i="6" s="1"/>
  <c r="J145" i="6"/>
  <c r="J144" i="6"/>
  <c r="L144" i="6" s="1"/>
  <c r="K143" i="6"/>
  <c r="I143" i="6"/>
  <c r="H143" i="6"/>
  <c r="G143" i="6"/>
  <c r="F143" i="6"/>
  <c r="D143" i="6"/>
  <c r="J142" i="6"/>
  <c r="L142" i="6" s="1"/>
  <c r="J141" i="6"/>
  <c r="L141" i="6" s="1"/>
  <c r="J140" i="6"/>
  <c r="L140" i="6" s="1"/>
  <c r="J139" i="6"/>
  <c r="L139" i="6" s="1"/>
  <c r="J138" i="6"/>
  <c r="L138" i="6" s="1"/>
  <c r="J137" i="6"/>
  <c r="L137" i="6" s="1"/>
  <c r="J136" i="6"/>
  <c r="L136" i="6" s="1"/>
  <c r="J134" i="6"/>
  <c r="L134" i="6" s="1"/>
  <c r="J133" i="6"/>
  <c r="L133" i="6" s="1"/>
  <c r="J132" i="6"/>
  <c r="L132" i="6" s="1"/>
  <c r="J131" i="6"/>
  <c r="L131" i="6" s="1"/>
  <c r="K130" i="6"/>
  <c r="I130" i="6"/>
  <c r="H130" i="6"/>
  <c r="G130" i="6"/>
  <c r="F130" i="6"/>
  <c r="D130" i="6"/>
  <c r="J129" i="6"/>
  <c r="L129" i="6" s="1"/>
  <c r="J128" i="6"/>
  <c r="L128" i="6" s="1"/>
  <c r="J127" i="6"/>
  <c r="L127" i="6" s="1"/>
  <c r="J126" i="6"/>
  <c r="L126" i="6" s="1"/>
  <c r="J125" i="6"/>
  <c r="L125" i="6" s="1"/>
  <c r="J124" i="6"/>
  <c r="L124" i="6" s="1"/>
  <c r="J123" i="6"/>
  <c r="L123" i="6" s="1"/>
  <c r="J122" i="6"/>
  <c r="L122" i="6" s="1"/>
  <c r="J121" i="6"/>
  <c r="L121" i="6" s="1"/>
  <c r="K120" i="6"/>
  <c r="I120" i="6"/>
  <c r="H120" i="6"/>
  <c r="G120" i="6"/>
  <c r="F120" i="6"/>
  <c r="D120" i="6"/>
  <c r="J119" i="6"/>
  <c r="L119" i="6" s="1"/>
  <c r="J118" i="6"/>
  <c r="L118" i="6" s="1"/>
  <c r="J117" i="6"/>
  <c r="L117" i="6" s="1"/>
  <c r="J116" i="6"/>
  <c r="L116" i="6" s="1"/>
  <c r="J115" i="6"/>
  <c r="L115" i="6" s="1"/>
  <c r="J114" i="6"/>
  <c r="J112" i="6"/>
  <c r="L112" i="6" s="1"/>
  <c r="J111" i="6"/>
  <c r="L111" i="6" s="1"/>
  <c r="J110" i="6"/>
  <c r="L110" i="6" s="1"/>
  <c r="J109" i="6"/>
  <c r="L109" i="6" s="1"/>
  <c r="K108" i="6"/>
  <c r="I108" i="6"/>
  <c r="H108" i="6"/>
  <c r="G108" i="6"/>
  <c r="F108" i="6"/>
  <c r="D108" i="6"/>
  <c r="J107" i="6"/>
  <c r="L107" i="6" s="1"/>
  <c r="J106" i="6"/>
  <c r="L106" i="6" s="1"/>
  <c r="J105" i="6"/>
  <c r="L105" i="6" s="1"/>
  <c r="J104" i="6"/>
  <c r="L104" i="6" s="1"/>
  <c r="J103" i="6"/>
  <c r="L103" i="6" s="1"/>
  <c r="J102" i="6"/>
  <c r="L102" i="6" s="1"/>
  <c r="J101" i="6"/>
  <c r="L101" i="6" s="1"/>
  <c r="J100" i="6"/>
  <c r="L100" i="6" s="1"/>
  <c r="J99" i="6"/>
  <c r="L99" i="6" s="1"/>
  <c r="J98" i="6"/>
  <c r="J97" i="6"/>
  <c r="L97" i="6" s="1"/>
  <c r="K96" i="6"/>
  <c r="I96" i="6"/>
  <c r="H96" i="6"/>
  <c r="G96" i="6"/>
  <c r="F96" i="6"/>
  <c r="D96" i="6"/>
  <c r="J95" i="6"/>
  <c r="L95" i="6" s="1"/>
  <c r="J94" i="6"/>
  <c r="L94" i="6" s="1"/>
  <c r="J93" i="6"/>
  <c r="L93" i="6" s="1"/>
  <c r="J92" i="6"/>
  <c r="L92" i="6" s="1"/>
  <c r="J91" i="6"/>
  <c r="L91" i="6" s="1"/>
  <c r="J90" i="6"/>
  <c r="L90" i="6" s="1"/>
  <c r="J89" i="6"/>
  <c r="J87" i="6"/>
  <c r="L87" i="6" s="1"/>
  <c r="J86" i="6"/>
  <c r="L86" i="6" s="1"/>
  <c r="J85" i="6"/>
  <c r="L85" i="6" s="1"/>
  <c r="J84" i="6"/>
  <c r="L84" i="6" s="1"/>
  <c r="J83" i="6"/>
  <c r="L83" i="6" s="1"/>
  <c r="J82" i="6"/>
  <c r="L82" i="6" s="1"/>
  <c r="J81" i="6"/>
  <c r="L81" i="6" s="1"/>
  <c r="J80" i="6"/>
  <c r="L80" i="6" s="1"/>
  <c r="K79" i="6"/>
  <c r="I79" i="6"/>
  <c r="H79" i="6"/>
  <c r="G79" i="6"/>
  <c r="F79" i="6"/>
  <c r="D79" i="6"/>
  <c r="J78" i="6"/>
  <c r="L78" i="6" s="1"/>
  <c r="J77" i="6"/>
  <c r="L77" i="6" s="1"/>
  <c r="K76" i="6"/>
  <c r="I76" i="6"/>
  <c r="H76" i="6"/>
  <c r="G76" i="6"/>
  <c r="F76" i="6"/>
  <c r="D76" i="6"/>
  <c r="J75" i="6"/>
  <c r="L75" i="6" s="1"/>
  <c r="J74" i="6"/>
  <c r="L74" i="6" s="1"/>
  <c r="J73" i="6"/>
  <c r="L73" i="6" s="1"/>
  <c r="J72" i="6"/>
  <c r="L72" i="6" s="1"/>
  <c r="J71" i="6"/>
  <c r="L71" i="6" s="1"/>
  <c r="J70" i="6"/>
  <c r="L70" i="6" s="1"/>
  <c r="J69" i="6"/>
  <c r="L69" i="6" s="1"/>
  <c r="J68" i="6"/>
  <c r="L68" i="6" s="1"/>
  <c r="J67" i="6"/>
  <c r="L67" i="6" s="1"/>
  <c r="J66" i="6"/>
  <c r="L66" i="6" s="1"/>
  <c r="J65" i="6"/>
  <c r="L65" i="6" s="1"/>
  <c r="J64" i="6"/>
  <c r="L64" i="6" s="1"/>
  <c r="J63" i="6"/>
  <c r="L63" i="6" s="1"/>
  <c r="J62" i="6"/>
  <c r="L62" i="6" s="1"/>
  <c r="K61" i="6"/>
  <c r="I61" i="6"/>
  <c r="H61" i="6"/>
  <c r="G61" i="6"/>
  <c r="F61" i="6"/>
  <c r="D61" i="6"/>
  <c r="J60" i="6"/>
  <c r="L60" i="6" s="1"/>
  <c r="J59" i="6"/>
  <c r="L59" i="6" s="1"/>
  <c r="J58" i="6"/>
  <c r="L58" i="6" s="1"/>
  <c r="J57" i="6"/>
  <c r="L57" i="6" s="1"/>
  <c r="J56" i="6"/>
  <c r="L56" i="6" s="1"/>
  <c r="J55" i="6"/>
  <c r="L55" i="6" s="1"/>
  <c r="J54" i="6"/>
  <c r="J53" i="6"/>
  <c r="J52" i="6"/>
  <c r="L52" i="6" s="1"/>
  <c r="K51" i="6"/>
  <c r="I51" i="6"/>
  <c r="H51" i="6"/>
  <c r="G51" i="6"/>
  <c r="F51" i="6"/>
  <c r="D51" i="6"/>
  <c r="J50" i="6"/>
  <c r="L50" i="6" s="1"/>
  <c r="J49" i="6"/>
  <c r="K48" i="6"/>
  <c r="I48" i="6"/>
  <c r="H48" i="6"/>
  <c r="G48" i="6"/>
  <c r="F48" i="6"/>
  <c r="D48" i="6"/>
  <c r="J47" i="6"/>
  <c r="L47" i="6" s="1"/>
  <c r="J46" i="6"/>
  <c r="L46" i="6" s="1"/>
  <c r="J45" i="6"/>
  <c r="J44" i="6"/>
  <c r="L44" i="6" s="1"/>
  <c r="J43" i="6"/>
  <c r="L43" i="6" s="1"/>
  <c r="J42" i="6"/>
  <c r="L42" i="6" s="1"/>
  <c r="J41" i="6"/>
  <c r="J40" i="6"/>
  <c r="L40" i="6" s="1"/>
  <c r="J39" i="6"/>
  <c r="L39" i="6" s="1"/>
  <c r="J38" i="6"/>
  <c r="L38" i="6" s="1"/>
  <c r="J37" i="6"/>
  <c r="L37" i="6" s="1"/>
  <c r="J36" i="6"/>
  <c r="L36" i="6" s="1"/>
  <c r="J35" i="6"/>
  <c r="L35" i="6" s="1"/>
  <c r="J34" i="6"/>
  <c r="L34" i="6" s="1"/>
  <c r="J33" i="6"/>
  <c r="L33" i="6" s="1"/>
  <c r="K32" i="6"/>
  <c r="I32" i="6"/>
  <c r="H32" i="6"/>
  <c r="G32" i="6"/>
  <c r="F32" i="6"/>
  <c r="D32" i="6"/>
  <c r="J31" i="6"/>
  <c r="L31" i="6" s="1"/>
  <c r="J30" i="6"/>
  <c r="L30" i="6" s="1"/>
  <c r="J29" i="6"/>
  <c r="L29" i="6" s="1"/>
  <c r="J28" i="6"/>
  <c r="L28" i="6" s="1"/>
  <c r="J27" i="6"/>
  <c r="L27" i="6" s="1"/>
  <c r="J26" i="6"/>
  <c r="L26" i="6" s="1"/>
  <c r="J25" i="6"/>
  <c r="L25" i="6" s="1"/>
  <c r="K24" i="6"/>
  <c r="K236" i="6" s="1"/>
  <c r="I24" i="6"/>
  <c r="I236" i="6" s="1"/>
  <c r="H24" i="6"/>
  <c r="H236" i="6" s="1"/>
  <c r="G24" i="6"/>
  <c r="G236" i="6" s="1"/>
  <c r="F24" i="6"/>
  <c r="F236" i="6" s="1"/>
  <c r="E24" i="6"/>
  <c r="E236" i="6" s="1"/>
  <c r="D24" i="6"/>
  <c r="D236" i="6" s="1"/>
  <c r="J23" i="6"/>
  <c r="J22" i="6"/>
  <c r="L22" i="6" s="1"/>
  <c r="J21" i="6"/>
  <c r="L21" i="6" s="1"/>
  <c r="J20" i="6"/>
  <c r="L20" i="6" s="1"/>
  <c r="J19" i="6"/>
  <c r="L19" i="6" s="1"/>
  <c r="J18" i="6"/>
  <c r="L18" i="6" s="1"/>
  <c r="J17" i="6"/>
  <c r="L17" i="6" s="1"/>
  <c r="J16" i="6"/>
  <c r="L16" i="6" s="1"/>
  <c r="J15" i="6"/>
  <c r="L15" i="6" s="1"/>
  <c r="J14" i="6"/>
  <c r="L14" i="6" s="1"/>
  <c r="J13" i="6"/>
  <c r="J12" i="6"/>
  <c r="L12" i="6" s="1"/>
  <c r="J11" i="6"/>
  <c r="L11" i="6" s="1"/>
  <c r="J10" i="6"/>
  <c r="J9" i="6"/>
  <c r="J8" i="6"/>
  <c r="J7" i="6"/>
  <c r="J6" i="6"/>
  <c r="J5" i="6"/>
  <c r="G135" i="6" l="1"/>
  <c r="J163" i="6"/>
  <c r="G156" i="6"/>
  <c r="D135" i="6"/>
  <c r="I135" i="6"/>
  <c r="D156" i="6"/>
  <c r="I156" i="6"/>
  <c r="G266" i="6"/>
  <c r="H113" i="6"/>
  <c r="J51" i="6"/>
  <c r="L157" i="6"/>
  <c r="L163" i="6" s="1"/>
  <c r="J198" i="8"/>
  <c r="J218" i="8" s="1"/>
  <c r="J267" i="8" s="1"/>
  <c r="J262" i="8"/>
  <c r="F346" i="8"/>
  <c r="F350" i="8" s="1"/>
  <c r="F321" i="8"/>
  <c r="L88" i="7"/>
  <c r="L218" i="7" s="1"/>
  <c r="J218" i="7"/>
  <c r="J267" i="7" s="1"/>
  <c r="J76" i="6"/>
  <c r="F113" i="6"/>
  <c r="J108" i="6"/>
  <c r="D198" i="6"/>
  <c r="G198" i="6"/>
  <c r="I198" i="6"/>
  <c r="D246" i="6"/>
  <c r="J32" i="6"/>
  <c r="G88" i="6"/>
  <c r="I88" i="6"/>
  <c r="D113" i="6"/>
  <c r="F135" i="6"/>
  <c r="H135" i="6"/>
  <c r="H156" i="6"/>
  <c r="H198" i="6"/>
  <c r="J196" i="6"/>
  <c r="J205" i="6"/>
  <c r="L205" i="6"/>
  <c r="F198" i="6"/>
  <c r="L182" i="6"/>
  <c r="K156" i="6"/>
  <c r="L76" i="6"/>
  <c r="L32" i="6"/>
  <c r="K88" i="6"/>
  <c r="K113" i="6"/>
  <c r="K135" i="6"/>
  <c r="K246" i="6"/>
  <c r="K217" i="6"/>
  <c r="F156" i="6"/>
  <c r="J153" i="6"/>
  <c r="J120" i="6"/>
  <c r="J265" i="6"/>
  <c r="L49" i="6"/>
  <c r="L51" i="6" s="1"/>
  <c r="L79" i="6"/>
  <c r="L98" i="6"/>
  <c r="L108" i="6" s="1"/>
  <c r="L114" i="6"/>
  <c r="L120" i="6" s="1"/>
  <c r="L130" i="6"/>
  <c r="L143" i="6"/>
  <c r="L145" i="6"/>
  <c r="L153" i="6" s="1"/>
  <c r="L193" i="6"/>
  <c r="L195" i="6"/>
  <c r="E232" i="6"/>
  <c r="J228" i="6"/>
  <c r="L6" i="6"/>
  <c r="J230" i="6"/>
  <c r="L8" i="6"/>
  <c r="J233" i="6"/>
  <c r="L10" i="6"/>
  <c r="J24" i="6"/>
  <c r="J236" i="6" s="1"/>
  <c r="J255" i="6"/>
  <c r="L41" i="6"/>
  <c r="J259" i="6"/>
  <c r="L45" i="6"/>
  <c r="J238" i="6"/>
  <c r="L53" i="6"/>
  <c r="J61" i="6"/>
  <c r="J79" i="6"/>
  <c r="J96" i="6"/>
  <c r="J248" i="6"/>
  <c r="L165" i="6"/>
  <c r="J250" i="6"/>
  <c r="L167" i="6"/>
  <c r="J254" i="6"/>
  <c r="L169" i="6"/>
  <c r="G262" i="6"/>
  <c r="K262" i="6"/>
  <c r="J182" i="6"/>
  <c r="J257" i="6"/>
  <c r="L187" i="6"/>
  <c r="J264" i="6"/>
  <c r="D266" i="6"/>
  <c r="F266" i="6"/>
  <c r="H266" i="6"/>
  <c r="K266" i="6"/>
  <c r="E246" i="6"/>
  <c r="G246" i="6"/>
  <c r="G217" i="6"/>
  <c r="I246" i="6"/>
  <c r="I217" i="6"/>
  <c r="J247" i="6"/>
  <c r="L206" i="6"/>
  <c r="J251" i="6"/>
  <c r="L208" i="6"/>
  <c r="J214" i="6"/>
  <c r="J260" i="6"/>
  <c r="L212" i="6"/>
  <c r="J227" i="6"/>
  <c r="L5" i="6"/>
  <c r="J229" i="6"/>
  <c r="L7" i="6"/>
  <c r="J231" i="6"/>
  <c r="L9" i="6"/>
  <c r="J234" i="6"/>
  <c r="J232" i="6"/>
  <c r="L13" i="6"/>
  <c r="J235" i="6"/>
  <c r="L23" i="6"/>
  <c r="D88" i="6"/>
  <c r="F88" i="6"/>
  <c r="H88" i="6"/>
  <c r="J48" i="6"/>
  <c r="J239" i="6"/>
  <c r="L54" i="6"/>
  <c r="J237" i="6"/>
  <c r="L89" i="6"/>
  <c r="L96" i="6" s="1"/>
  <c r="G113" i="6"/>
  <c r="I113" i="6"/>
  <c r="J130" i="6"/>
  <c r="J143" i="6"/>
  <c r="E262" i="6"/>
  <c r="I262" i="6"/>
  <c r="J174" i="6"/>
  <c r="K179" i="6"/>
  <c r="E266" i="6"/>
  <c r="I266" i="6"/>
  <c r="D262" i="6"/>
  <c r="F262" i="6"/>
  <c r="H262" i="6"/>
  <c r="J252" i="6"/>
  <c r="J245" i="6"/>
  <c r="K198" i="6"/>
  <c r="J249" i="6"/>
  <c r="J253" i="6"/>
  <c r="J256" i="6"/>
  <c r="L186" i="6"/>
  <c r="J192" i="6"/>
  <c r="J263" i="6"/>
  <c r="L197" i="6"/>
  <c r="J240" i="6"/>
  <c r="J241" i="6"/>
  <c r="J242" i="6"/>
  <c r="J243" i="6"/>
  <c r="J244" i="6"/>
  <c r="F246" i="6"/>
  <c r="H246" i="6"/>
  <c r="J258" i="6"/>
  <c r="L211" i="6"/>
  <c r="J261" i="6"/>
  <c r="L213" i="6"/>
  <c r="D217" i="6"/>
  <c r="F217" i="6"/>
  <c r="H217" i="6"/>
  <c r="F237" i="5"/>
  <c r="F244" i="5"/>
  <c r="E237" i="5"/>
  <c r="J156" i="6" l="1"/>
  <c r="J179" i="6"/>
  <c r="J266" i="6"/>
  <c r="I218" i="6"/>
  <c r="I267" i="6" s="1"/>
  <c r="J113" i="6"/>
  <c r="J217" i="6"/>
  <c r="L135" i="6"/>
  <c r="J135" i="6"/>
  <c r="G218" i="6"/>
  <c r="G267" i="6" s="1"/>
  <c r="H218" i="6"/>
  <c r="H267" i="6" s="1"/>
  <c r="D218" i="6"/>
  <c r="D267" i="6" s="1"/>
  <c r="L48" i="6"/>
  <c r="L113" i="6"/>
  <c r="K218" i="6"/>
  <c r="K267" i="6" s="1"/>
  <c r="J88" i="6"/>
  <c r="L192" i="6"/>
  <c r="L196" i="6"/>
  <c r="L156" i="6"/>
  <c r="J262" i="6"/>
  <c r="L174" i="6"/>
  <c r="L179" i="6" s="1"/>
  <c r="J246" i="6"/>
  <c r="F218" i="6"/>
  <c r="F267" i="6" s="1"/>
  <c r="L24" i="6"/>
  <c r="L214" i="6"/>
  <c r="L217" i="6" s="1"/>
  <c r="J198" i="6"/>
  <c r="L61" i="6"/>
  <c r="E257" i="5"/>
  <c r="F257" i="5"/>
  <c r="G257" i="5"/>
  <c r="H257" i="5"/>
  <c r="I257" i="5"/>
  <c r="K257" i="5"/>
  <c r="D257" i="5"/>
  <c r="K214" i="5"/>
  <c r="J210" i="5"/>
  <c r="L210" i="5" s="1"/>
  <c r="J218" i="6" l="1"/>
  <c r="J267" i="6" s="1"/>
  <c r="L88" i="6"/>
  <c r="L198" i="6"/>
  <c r="E32" i="5"/>
  <c r="E48" i="5"/>
  <c r="E51" i="5"/>
  <c r="E61" i="5"/>
  <c r="E76" i="5"/>
  <c r="E79" i="5"/>
  <c r="E96" i="5"/>
  <c r="E108" i="5"/>
  <c r="E120" i="5"/>
  <c r="E130" i="5"/>
  <c r="E143" i="5"/>
  <c r="E153" i="5"/>
  <c r="E163" i="5"/>
  <c r="E174" i="5"/>
  <c r="E182" i="5"/>
  <c r="E192" i="5"/>
  <c r="E196" i="5"/>
  <c r="E205" i="5"/>
  <c r="E214" i="5"/>
  <c r="J197" i="5"/>
  <c r="L197" i="5" s="1"/>
  <c r="J77" i="5"/>
  <c r="E260" i="5"/>
  <c r="E258" i="5"/>
  <c r="E256" i="5"/>
  <c r="E264" i="5"/>
  <c r="J22" i="5"/>
  <c r="L22" i="5" s="1"/>
  <c r="J20" i="5"/>
  <c r="L20" i="5" s="1"/>
  <c r="J18" i="5"/>
  <c r="L18" i="5" s="1"/>
  <c r="J16" i="5"/>
  <c r="L16" i="5" s="1"/>
  <c r="E227" i="5"/>
  <c r="J12" i="5"/>
  <c r="L12" i="5" s="1"/>
  <c r="E233" i="5"/>
  <c r="J8" i="5"/>
  <c r="J230" i="5" s="1"/>
  <c r="E235" i="5"/>
  <c r="K265" i="5"/>
  <c r="I265" i="5"/>
  <c r="H265" i="5"/>
  <c r="G265" i="5"/>
  <c r="F265" i="5"/>
  <c r="E265" i="5"/>
  <c r="D265" i="5"/>
  <c r="K264" i="5"/>
  <c r="I264" i="5"/>
  <c r="H264" i="5"/>
  <c r="G264" i="5"/>
  <c r="F264" i="5"/>
  <c r="D264" i="5"/>
  <c r="K263" i="5"/>
  <c r="I263" i="5"/>
  <c r="H263" i="5"/>
  <c r="G263" i="5"/>
  <c r="F263" i="5"/>
  <c r="E263" i="5"/>
  <c r="D263" i="5"/>
  <c r="K261" i="5"/>
  <c r="I261" i="5"/>
  <c r="H261" i="5"/>
  <c r="G261" i="5"/>
  <c r="F261" i="5"/>
  <c r="E261" i="5"/>
  <c r="D261" i="5"/>
  <c r="K260" i="5"/>
  <c r="I260" i="5"/>
  <c r="H260" i="5"/>
  <c r="G260" i="5"/>
  <c r="D260" i="5"/>
  <c r="K259" i="5"/>
  <c r="I259" i="5"/>
  <c r="H259" i="5"/>
  <c r="G259" i="5"/>
  <c r="F259" i="5"/>
  <c r="E259" i="5"/>
  <c r="D259" i="5"/>
  <c r="K258" i="5"/>
  <c r="I258" i="5"/>
  <c r="H258" i="5"/>
  <c r="G258" i="5"/>
  <c r="F258" i="5"/>
  <c r="D258" i="5"/>
  <c r="K256" i="5"/>
  <c r="I256" i="5"/>
  <c r="H256" i="5"/>
  <c r="G256" i="5"/>
  <c r="F256" i="5"/>
  <c r="D256" i="5"/>
  <c r="K255" i="5"/>
  <c r="I255" i="5"/>
  <c r="H255" i="5"/>
  <c r="G255" i="5"/>
  <c r="F255" i="5"/>
  <c r="E255" i="5"/>
  <c r="D255" i="5"/>
  <c r="K254" i="5"/>
  <c r="I254" i="5"/>
  <c r="H254" i="5"/>
  <c r="G254" i="5"/>
  <c r="F254" i="5"/>
  <c r="E254" i="5"/>
  <c r="D254" i="5"/>
  <c r="K253" i="5"/>
  <c r="I253" i="5"/>
  <c r="H253" i="5"/>
  <c r="G253" i="5"/>
  <c r="F253" i="5"/>
  <c r="E253" i="5"/>
  <c r="D253" i="5"/>
  <c r="K252" i="5"/>
  <c r="I252" i="5"/>
  <c r="H252" i="5"/>
  <c r="G252" i="5"/>
  <c r="F252" i="5"/>
  <c r="E252" i="5"/>
  <c r="D252" i="5"/>
  <c r="K251" i="5"/>
  <c r="I251" i="5"/>
  <c r="H251" i="5"/>
  <c r="G251" i="5"/>
  <c r="F251" i="5"/>
  <c r="E251" i="5"/>
  <c r="D251" i="5"/>
  <c r="K250" i="5"/>
  <c r="I250" i="5"/>
  <c r="H250" i="5"/>
  <c r="G250" i="5"/>
  <c r="F250" i="5"/>
  <c r="E250" i="5"/>
  <c r="D250" i="5"/>
  <c r="K249" i="5"/>
  <c r="I249" i="5"/>
  <c r="H249" i="5"/>
  <c r="G249" i="5"/>
  <c r="F249" i="5"/>
  <c r="E249" i="5"/>
  <c r="D249" i="5"/>
  <c r="K248" i="5"/>
  <c r="I248" i="5"/>
  <c r="H248" i="5"/>
  <c r="G248" i="5"/>
  <c r="F248" i="5"/>
  <c r="E248" i="5"/>
  <c r="D248" i="5"/>
  <c r="K247" i="5"/>
  <c r="I247" i="5"/>
  <c r="H247" i="5"/>
  <c r="G247" i="5"/>
  <c r="F247" i="5"/>
  <c r="E247" i="5"/>
  <c r="D247" i="5"/>
  <c r="K245" i="5"/>
  <c r="I245" i="5"/>
  <c r="H245" i="5"/>
  <c r="G245" i="5"/>
  <c r="F245" i="5"/>
  <c r="E245" i="5"/>
  <c r="D245" i="5"/>
  <c r="K244" i="5"/>
  <c r="I244" i="5"/>
  <c r="H244" i="5"/>
  <c r="G244" i="5"/>
  <c r="E244" i="5"/>
  <c r="D244" i="5"/>
  <c r="K243" i="5"/>
  <c r="I243" i="5"/>
  <c r="H243" i="5"/>
  <c r="G243" i="5"/>
  <c r="F243" i="5"/>
  <c r="E243" i="5"/>
  <c r="D243" i="5"/>
  <c r="K242" i="5"/>
  <c r="I242" i="5"/>
  <c r="H242" i="5"/>
  <c r="G242" i="5"/>
  <c r="F242" i="5"/>
  <c r="E242" i="5"/>
  <c r="D242" i="5"/>
  <c r="K241" i="5"/>
  <c r="I241" i="5"/>
  <c r="H241" i="5"/>
  <c r="G241" i="5"/>
  <c r="F241" i="5"/>
  <c r="E241" i="5"/>
  <c r="D241" i="5"/>
  <c r="K240" i="5"/>
  <c r="I240" i="5"/>
  <c r="H240" i="5"/>
  <c r="G240" i="5"/>
  <c r="F240" i="5"/>
  <c r="E240" i="5"/>
  <c r="D240" i="5"/>
  <c r="K239" i="5"/>
  <c r="I239" i="5"/>
  <c r="H239" i="5"/>
  <c r="G239" i="5"/>
  <c r="F239" i="5"/>
  <c r="E239" i="5"/>
  <c r="D239" i="5"/>
  <c r="K238" i="5"/>
  <c r="I238" i="5"/>
  <c r="H238" i="5"/>
  <c r="G238" i="5"/>
  <c r="F238" i="5"/>
  <c r="E238" i="5"/>
  <c r="D238" i="5"/>
  <c r="K237" i="5"/>
  <c r="I237" i="5"/>
  <c r="H237" i="5"/>
  <c r="G237" i="5"/>
  <c r="D237" i="5"/>
  <c r="K236" i="5"/>
  <c r="I236" i="5"/>
  <c r="H236" i="5"/>
  <c r="G236" i="5"/>
  <c r="F236" i="5"/>
  <c r="E236" i="5"/>
  <c r="D236" i="5"/>
  <c r="K235" i="5"/>
  <c r="I235" i="5"/>
  <c r="H235" i="5"/>
  <c r="G235" i="5"/>
  <c r="F235" i="5"/>
  <c r="D235" i="5"/>
  <c r="K234" i="5"/>
  <c r="I234" i="5"/>
  <c r="H234" i="5"/>
  <c r="G234" i="5"/>
  <c r="F234" i="5"/>
  <c r="E234" i="5"/>
  <c r="D234" i="5"/>
  <c r="K233" i="5"/>
  <c r="I233" i="5"/>
  <c r="H233" i="5"/>
  <c r="G233" i="5"/>
  <c r="F233" i="5"/>
  <c r="D233" i="5"/>
  <c r="K232" i="5"/>
  <c r="I232" i="5"/>
  <c r="H232" i="5"/>
  <c r="G232" i="5"/>
  <c r="F232" i="5"/>
  <c r="E232" i="5"/>
  <c r="D232" i="5"/>
  <c r="K231" i="5"/>
  <c r="I231" i="5"/>
  <c r="H231" i="5"/>
  <c r="G231" i="5"/>
  <c r="F231" i="5"/>
  <c r="E231" i="5"/>
  <c r="D231" i="5"/>
  <c r="K230" i="5"/>
  <c r="I230" i="5"/>
  <c r="H230" i="5"/>
  <c r="G230" i="5"/>
  <c r="F230" i="5"/>
  <c r="E230" i="5"/>
  <c r="D230" i="5"/>
  <c r="K229" i="5"/>
  <c r="I229" i="5"/>
  <c r="H229" i="5"/>
  <c r="G229" i="5"/>
  <c r="F229" i="5"/>
  <c r="E229" i="5"/>
  <c r="D229" i="5"/>
  <c r="K228" i="5"/>
  <c r="I228" i="5"/>
  <c r="H228" i="5"/>
  <c r="G228" i="5"/>
  <c r="F228" i="5"/>
  <c r="E228" i="5"/>
  <c r="D228" i="5"/>
  <c r="K227" i="5"/>
  <c r="I227" i="5"/>
  <c r="H227" i="5"/>
  <c r="G227" i="5"/>
  <c r="F227" i="5"/>
  <c r="D227" i="5"/>
  <c r="J216" i="5"/>
  <c r="L216" i="5" s="1"/>
  <c r="J215" i="5"/>
  <c r="L215" i="5" s="1"/>
  <c r="I214" i="5"/>
  <c r="H214" i="5"/>
  <c r="G214" i="5"/>
  <c r="D214" i="5"/>
  <c r="J213" i="5"/>
  <c r="L213" i="5" s="1"/>
  <c r="J211" i="5"/>
  <c r="L211" i="5" s="1"/>
  <c r="J209" i="5"/>
  <c r="L209" i="5" s="1"/>
  <c r="J208" i="5"/>
  <c r="L208" i="5" s="1"/>
  <c r="J207" i="5"/>
  <c r="J206" i="5"/>
  <c r="L206" i="5" s="1"/>
  <c r="K205" i="5"/>
  <c r="I205" i="5"/>
  <c r="H205" i="5"/>
  <c r="G205" i="5"/>
  <c r="F205" i="5"/>
  <c r="D205" i="5"/>
  <c r="J204" i="5"/>
  <c r="L204" i="5" s="1"/>
  <c r="J203" i="5"/>
  <c r="L203" i="5" s="1"/>
  <c r="J202" i="5"/>
  <c r="L202" i="5" s="1"/>
  <c r="J201" i="5"/>
  <c r="L201" i="5" s="1"/>
  <c r="J200" i="5"/>
  <c r="L200" i="5" s="1"/>
  <c r="J199" i="5"/>
  <c r="K196" i="5"/>
  <c r="I196" i="5"/>
  <c r="H196" i="5"/>
  <c r="G196" i="5"/>
  <c r="F196" i="5"/>
  <c r="D196" i="5"/>
  <c r="J195" i="5"/>
  <c r="L195" i="5" s="1"/>
  <c r="J194" i="5"/>
  <c r="L194" i="5" s="1"/>
  <c r="J193" i="5"/>
  <c r="K192" i="5"/>
  <c r="I192" i="5"/>
  <c r="H192" i="5"/>
  <c r="G192" i="5"/>
  <c r="D192" i="5"/>
  <c r="J191" i="5"/>
  <c r="L191" i="5" s="1"/>
  <c r="J190" i="5"/>
  <c r="L190" i="5" s="1"/>
  <c r="J189" i="5"/>
  <c r="L189" i="5" s="1"/>
  <c r="J188" i="5"/>
  <c r="L188" i="5" s="1"/>
  <c r="J187" i="5"/>
  <c r="L187" i="5" s="1"/>
  <c r="F192" i="5"/>
  <c r="J186" i="5"/>
  <c r="L186" i="5" s="1"/>
  <c r="J185" i="5"/>
  <c r="L185" i="5" s="1"/>
  <c r="J184" i="5"/>
  <c r="L184" i="5" s="1"/>
  <c r="J183" i="5"/>
  <c r="L183" i="5" s="1"/>
  <c r="K182" i="5"/>
  <c r="I182" i="5"/>
  <c r="H182" i="5"/>
  <c r="G182" i="5"/>
  <c r="F182" i="5"/>
  <c r="D182" i="5"/>
  <c r="J181" i="5"/>
  <c r="L181" i="5" s="1"/>
  <c r="J180" i="5"/>
  <c r="L180" i="5" s="1"/>
  <c r="J178" i="5"/>
  <c r="L178" i="5" s="1"/>
  <c r="J177" i="5"/>
  <c r="L177" i="5" s="1"/>
  <c r="J176" i="5"/>
  <c r="L176" i="5" s="1"/>
  <c r="J175" i="5"/>
  <c r="L175" i="5" s="1"/>
  <c r="K174" i="5"/>
  <c r="I174" i="5"/>
  <c r="H174" i="5"/>
  <c r="G174" i="5"/>
  <c r="F174" i="5"/>
  <c r="D174" i="5"/>
  <c r="J173" i="5"/>
  <c r="L173" i="5" s="1"/>
  <c r="J172" i="5"/>
  <c r="L172" i="5" s="1"/>
  <c r="J171" i="5"/>
  <c r="L171" i="5" s="1"/>
  <c r="J170" i="5"/>
  <c r="L170" i="5" s="1"/>
  <c r="J169" i="5"/>
  <c r="L169" i="5" s="1"/>
  <c r="J168" i="5"/>
  <c r="L168" i="5" s="1"/>
  <c r="J167" i="5"/>
  <c r="L167" i="5" s="1"/>
  <c r="J166" i="5"/>
  <c r="L166" i="5" s="1"/>
  <c r="J165" i="5"/>
  <c r="J164" i="5"/>
  <c r="L164" i="5" s="1"/>
  <c r="K163" i="5"/>
  <c r="K179" i="5" s="1"/>
  <c r="I163" i="5"/>
  <c r="I179" i="5" s="1"/>
  <c r="H163" i="5"/>
  <c r="H179" i="5" s="1"/>
  <c r="G163" i="5"/>
  <c r="G179" i="5" s="1"/>
  <c r="F163" i="5"/>
  <c r="F179" i="5" s="1"/>
  <c r="D163" i="5"/>
  <c r="D179" i="5" s="1"/>
  <c r="J162" i="5"/>
  <c r="L162" i="5" s="1"/>
  <c r="J161" i="5"/>
  <c r="L161" i="5" s="1"/>
  <c r="J160" i="5"/>
  <c r="L160" i="5" s="1"/>
  <c r="J159" i="5"/>
  <c r="L159" i="5" s="1"/>
  <c r="J158" i="5"/>
  <c r="L158" i="5" s="1"/>
  <c r="J157" i="5"/>
  <c r="J155" i="5"/>
  <c r="L155" i="5" s="1"/>
  <c r="J154" i="5"/>
  <c r="L154" i="5" s="1"/>
  <c r="K153" i="5"/>
  <c r="I153" i="5"/>
  <c r="H153" i="5"/>
  <c r="G153" i="5"/>
  <c r="F153" i="5"/>
  <c r="D153" i="5"/>
  <c r="J152" i="5"/>
  <c r="L152" i="5" s="1"/>
  <c r="J151" i="5"/>
  <c r="L151" i="5" s="1"/>
  <c r="J150" i="5"/>
  <c r="L150" i="5" s="1"/>
  <c r="J149" i="5"/>
  <c r="L149" i="5" s="1"/>
  <c r="J148" i="5"/>
  <c r="L148" i="5" s="1"/>
  <c r="J147" i="5"/>
  <c r="L147" i="5" s="1"/>
  <c r="J146" i="5"/>
  <c r="L146" i="5" s="1"/>
  <c r="J145" i="5"/>
  <c r="J144" i="5"/>
  <c r="L144" i="5" s="1"/>
  <c r="K143" i="5"/>
  <c r="I143" i="5"/>
  <c r="H143" i="5"/>
  <c r="G143" i="5"/>
  <c r="F143" i="5"/>
  <c r="D143" i="5"/>
  <c r="J142" i="5"/>
  <c r="L142" i="5" s="1"/>
  <c r="J141" i="5"/>
  <c r="L141" i="5" s="1"/>
  <c r="J140" i="5"/>
  <c r="L140" i="5" s="1"/>
  <c r="J139" i="5"/>
  <c r="L139" i="5" s="1"/>
  <c r="J138" i="5"/>
  <c r="L138" i="5" s="1"/>
  <c r="J137" i="5"/>
  <c r="L137" i="5" s="1"/>
  <c r="J136" i="5"/>
  <c r="J134" i="5"/>
  <c r="L134" i="5" s="1"/>
  <c r="J133" i="5"/>
  <c r="L133" i="5" s="1"/>
  <c r="J132" i="5"/>
  <c r="L132" i="5" s="1"/>
  <c r="J131" i="5"/>
  <c r="L131" i="5" s="1"/>
  <c r="K130" i="5"/>
  <c r="I130" i="5"/>
  <c r="H130" i="5"/>
  <c r="G130" i="5"/>
  <c r="F130" i="5"/>
  <c r="D130" i="5"/>
  <c r="J129" i="5"/>
  <c r="L129" i="5" s="1"/>
  <c r="J128" i="5"/>
  <c r="L128" i="5" s="1"/>
  <c r="J127" i="5"/>
  <c r="L127" i="5" s="1"/>
  <c r="J126" i="5"/>
  <c r="L126" i="5" s="1"/>
  <c r="J125" i="5"/>
  <c r="L125" i="5" s="1"/>
  <c r="J124" i="5"/>
  <c r="L124" i="5" s="1"/>
  <c r="J123" i="5"/>
  <c r="L123" i="5" s="1"/>
  <c r="J122" i="5"/>
  <c r="J121" i="5"/>
  <c r="L121" i="5" s="1"/>
  <c r="K120" i="5"/>
  <c r="I120" i="5"/>
  <c r="H120" i="5"/>
  <c r="G120" i="5"/>
  <c r="F120" i="5"/>
  <c r="D120" i="5"/>
  <c r="J119" i="5"/>
  <c r="L119" i="5" s="1"/>
  <c r="J118" i="5"/>
  <c r="L118" i="5" s="1"/>
  <c r="J117" i="5"/>
  <c r="L117" i="5" s="1"/>
  <c r="J116" i="5"/>
  <c r="L116" i="5" s="1"/>
  <c r="J115" i="5"/>
  <c r="L115" i="5" s="1"/>
  <c r="J114" i="5"/>
  <c r="J112" i="5"/>
  <c r="L112" i="5" s="1"/>
  <c r="J111" i="5"/>
  <c r="L111" i="5" s="1"/>
  <c r="J110" i="5"/>
  <c r="L110" i="5" s="1"/>
  <c r="J109" i="5"/>
  <c r="L109" i="5" s="1"/>
  <c r="K108" i="5"/>
  <c r="I108" i="5"/>
  <c r="H108" i="5"/>
  <c r="G108" i="5"/>
  <c r="F108" i="5"/>
  <c r="D108" i="5"/>
  <c r="J107" i="5"/>
  <c r="L107" i="5" s="1"/>
  <c r="J106" i="5"/>
  <c r="L106" i="5" s="1"/>
  <c r="J105" i="5"/>
  <c r="L105" i="5" s="1"/>
  <c r="J104" i="5"/>
  <c r="L104" i="5" s="1"/>
  <c r="J103" i="5"/>
  <c r="L103" i="5" s="1"/>
  <c r="J102" i="5"/>
  <c r="L102" i="5" s="1"/>
  <c r="J101" i="5"/>
  <c r="L101" i="5" s="1"/>
  <c r="J100" i="5"/>
  <c r="L100" i="5" s="1"/>
  <c r="J99" i="5"/>
  <c r="L99" i="5" s="1"/>
  <c r="J98" i="5"/>
  <c r="J97" i="5"/>
  <c r="L97" i="5" s="1"/>
  <c r="K96" i="5"/>
  <c r="I96" i="5"/>
  <c r="H96" i="5"/>
  <c r="G96" i="5"/>
  <c r="F96" i="5"/>
  <c r="D96" i="5"/>
  <c r="J95" i="5"/>
  <c r="L95" i="5" s="1"/>
  <c r="J94" i="5"/>
  <c r="L94" i="5" s="1"/>
  <c r="J93" i="5"/>
  <c r="L93" i="5" s="1"/>
  <c r="J92" i="5"/>
  <c r="L92" i="5" s="1"/>
  <c r="J91" i="5"/>
  <c r="L91" i="5" s="1"/>
  <c r="J90" i="5"/>
  <c r="L90" i="5" s="1"/>
  <c r="J89" i="5"/>
  <c r="J87" i="5"/>
  <c r="L87" i="5" s="1"/>
  <c r="J86" i="5"/>
  <c r="L86" i="5" s="1"/>
  <c r="J85" i="5"/>
  <c r="L85" i="5" s="1"/>
  <c r="J84" i="5"/>
  <c r="L84" i="5" s="1"/>
  <c r="J83" i="5"/>
  <c r="L83" i="5" s="1"/>
  <c r="J82" i="5"/>
  <c r="L82" i="5" s="1"/>
  <c r="J81" i="5"/>
  <c r="L81" i="5" s="1"/>
  <c r="J80" i="5"/>
  <c r="L80" i="5" s="1"/>
  <c r="K79" i="5"/>
  <c r="I79" i="5"/>
  <c r="H79" i="5"/>
  <c r="G79" i="5"/>
  <c r="F79" i="5"/>
  <c r="D79" i="5"/>
  <c r="J78" i="5"/>
  <c r="L78" i="5" s="1"/>
  <c r="K76" i="5"/>
  <c r="I76" i="5"/>
  <c r="H76" i="5"/>
  <c r="G76" i="5"/>
  <c r="F76" i="5"/>
  <c r="D76" i="5"/>
  <c r="J75" i="5"/>
  <c r="L75" i="5" s="1"/>
  <c r="J74" i="5"/>
  <c r="L74" i="5" s="1"/>
  <c r="J73" i="5"/>
  <c r="L73" i="5" s="1"/>
  <c r="J72" i="5"/>
  <c r="L72" i="5" s="1"/>
  <c r="J71" i="5"/>
  <c r="J70" i="5"/>
  <c r="L70" i="5" s="1"/>
  <c r="J69" i="5"/>
  <c r="L69" i="5" s="1"/>
  <c r="J68" i="5"/>
  <c r="L68" i="5" s="1"/>
  <c r="J67" i="5"/>
  <c r="L67" i="5" s="1"/>
  <c r="J66" i="5"/>
  <c r="L66" i="5" s="1"/>
  <c r="J65" i="5"/>
  <c r="L65" i="5" s="1"/>
  <c r="J64" i="5"/>
  <c r="L64" i="5" s="1"/>
  <c r="J63" i="5"/>
  <c r="J62" i="5"/>
  <c r="L62" i="5" s="1"/>
  <c r="K61" i="5"/>
  <c r="I61" i="5"/>
  <c r="H61" i="5"/>
  <c r="G61" i="5"/>
  <c r="F61" i="5"/>
  <c r="D61" i="5"/>
  <c r="J60" i="5"/>
  <c r="L60" i="5" s="1"/>
  <c r="J59" i="5"/>
  <c r="L59" i="5" s="1"/>
  <c r="J58" i="5"/>
  <c r="L58" i="5" s="1"/>
  <c r="J57" i="5"/>
  <c r="L57" i="5" s="1"/>
  <c r="J56" i="5"/>
  <c r="L56" i="5" s="1"/>
  <c r="J55" i="5"/>
  <c r="L55" i="5" s="1"/>
  <c r="J54" i="5"/>
  <c r="J239" i="5" s="1"/>
  <c r="J53" i="5"/>
  <c r="J238" i="5" s="1"/>
  <c r="J52" i="5"/>
  <c r="K51" i="5"/>
  <c r="I51" i="5"/>
  <c r="H51" i="5"/>
  <c r="G51" i="5"/>
  <c r="F51" i="5"/>
  <c r="D51" i="5"/>
  <c r="J50" i="5"/>
  <c r="L50" i="5" s="1"/>
  <c r="J49" i="5"/>
  <c r="K48" i="5"/>
  <c r="I48" i="5"/>
  <c r="H48" i="5"/>
  <c r="G48" i="5"/>
  <c r="F48" i="5"/>
  <c r="D48" i="5"/>
  <c r="J47" i="5"/>
  <c r="L47" i="5" s="1"/>
  <c r="J46" i="5"/>
  <c r="L46" i="5" s="1"/>
  <c r="J45" i="5"/>
  <c r="J44" i="5"/>
  <c r="L44" i="5" s="1"/>
  <c r="J43" i="5"/>
  <c r="L43" i="5" s="1"/>
  <c r="J42" i="5"/>
  <c r="L42" i="5" s="1"/>
  <c r="J41" i="5"/>
  <c r="J255" i="5" s="1"/>
  <c r="J40" i="5"/>
  <c r="L40" i="5" s="1"/>
  <c r="J39" i="5"/>
  <c r="L39" i="5" s="1"/>
  <c r="J38" i="5"/>
  <c r="L38" i="5" s="1"/>
  <c r="J37" i="5"/>
  <c r="L37" i="5" s="1"/>
  <c r="J36" i="5"/>
  <c r="L36" i="5" s="1"/>
  <c r="J35" i="5"/>
  <c r="L35" i="5" s="1"/>
  <c r="J34" i="5"/>
  <c r="J33" i="5"/>
  <c r="L33" i="5" s="1"/>
  <c r="K32" i="5"/>
  <c r="I32" i="5"/>
  <c r="H32" i="5"/>
  <c r="G32" i="5"/>
  <c r="D32" i="5"/>
  <c r="J31" i="5"/>
  <c r="L31" i="5" s="1"/>
  <c r="J29" i="5"/>
  <c r="L29" i="5" s="1"/>
  <c r="J28" i="5"/>
  <c r="L28" i="5" s="1"/>
  <c r="J27" i="5"/>
  <c r="L27" i="5" s="1"/>
  <c r="J26" i="5"/>
  <c r="L26" i="5" s="1"/>
  <c r="J25" i="5"/>
  <c r="K24" i="5"/>
  <c r="I24" i="5"/>
  <c r="H24" i="5"/>
  <c r="G24" i="5"/>
  <c r="F24" i="5"/>
  <c r="E24" i="5"/>
  <c r="D24" i="5"/>
  <c r="J23" i="5"/>
  <c r="J21" i="5"/>
  <c r="L21" i="5" s="1"/>
  <c r="J19" i="5"/>
  <c r="L19" i="5" s="1"/>
  <c r="J17" i="5"/>
  <c r="L17" i="5" s="1"/>
  <c r="J15" i="5"/>
  <c r="L15" i="5" s="1"/>
  <c r="J13" i="5"/>
  <c r="J11" i="5"/>
  <c r="L11" i="5" s="1"/>
  <c r="J9" i="5"/>
  <c r="J231" i="5" s="1"/>
  <c r="J7" i="5"/>
  <c r="J229" i="5" s="1"/>
  <c r="J5" i="5"/>
  <c r="E179" i="5" l="1"/>
  <c r="E135" i="5"/>
  <c r="L218" i="6"/>
  <c r="E113" i="5"/>
  <c r="G113" i="5"/>
  <c r="E198" i="5"/>
  <c r="E156" i="5"/>
  <c r="E217" i="5"/>
  <c r="E266" i="5"/>
  <c r="H217" i="5"/>
  <c r="H135" i="5"/>
  <c r="H156" i="5"/>
  <c r="E246" i="5"/>
  <c r="F113" i="5"/>
  <c r="G135" i="5"/>
  <c r="G156" i="5"/>
  <c r="D266" i="5"/>
  <c r="H198" i="5"/>
  <c r="I88" i="5"/>
  <c r="F266" i="5"/>
  <c r="D113" i="5"/>
  <c r="I113" i="5"/>
  <c r="J163" i="5"/>
  <c r="F198" i="5"/>
  <c r="L25" i="5"/>
  <c r="J237" i="5"/>
  <c r="H88" i="5"/>
  <c r="J61" i="5"/>
  <c r="H113" i="5"/>
  <c r="J120" i="5"/>
  <c r="I198" i="5"/>
  <c r="D246" i="5"/>
  <c r="D88" i="5"/>
  <c r="J96" i="5"/>
  <c r="D135" i="5"/>
  <c r="I135" i="5"/>
  <c r="D156" i="5"/>
  <c r="I156" i="5"/>
  <c r="G198" i="5"/>
  <c r="K266" i="5"/>
  <c r="D262" i="5"/>
  <c r="H266" i="5"/>
  <c r="D198" i="5"/>
  <c r="E88" i="5"/>
  <c r="F156" i="5"/>
  <c r="F135" i="5"/>
  <c r="L71" i="5"/>
  <c r="J257" i="5"/>
  <c r="J143" i="5"/>
  <c r="L54" i="5"/>
  <c r="L89" i="5"/>
  <c r="L96" i="5" s="1"/>
  <c r="L136" i="5"/>
  <c r="L143" i="5" s="1"/>
  <c r="L157" i="5"/>
  <c r="L163" i="5" s="1"/>
  <c r="J48" i="5"/>
  <c r="J108" i="5"/>
  <c r="J130" i="5"/>
  <c r="J153" i="5"/>
  <c r="L53" i="5"/>
  <c r="L114" i="5"/>
  <c r="L120" i="5" s="1"/>
  <c r="K198" i="5"/>
  <c r="K156" i="5"/>
  <c r="K135" i="5"/>
  <c r="K113" i="5"/>
  <c r="L192" i="5"/>
  <c r="L182" i="5"/>
  <c r="K88" i="5"/>
  <c r="K262" i="5"/>
  <c r="H262" i="5"/>
  <c r="L52" i="5"/>
  <c r="G88" i="5"/>
  <c r="E262" i="5"/>
  <c r="L145" i="5"/>
  <c r="L153" i="5" s="1"/>
  <c r="L122" i="5"/>
  <c r="L130" i="5" s="1"/>
  <c r="L98" i="5"/>
  <c r="L108" i="5" s="1"/>
  <c r="J79" i="5"/>
  <c r="L77" i="5"/>
  <c r="L79" i="5" s="1"/>
  <c r="J259" i="5"/>
  <c r="J76" i="5"/>
  <c r="L63" i="5"/>
  <c r="J51" i="5"/>
  <c r="L49" i="5"/>
  <c r="L51" i="5" s="1"/>
  <c r="J252" i="5"/>
  <c r="L34" i="5"/>
  <c r="L41" i="5"/>
  <c r="L45" i="5"/>
  <c r="J253" i="5"/>
  <c r="J6" i="5"/>
  <c r="J228" i="5" s="1"/>
  <c r="J10" i="5"/>
  <c r="J233" i="5" s="1"/>
  <c r="J14" i="5"/>
  <c r="L14" i="5" s="1"/>
  <c r="F32" i="5"/>
  <c r="F88" i="5" s="1"/>
  <c r="J182" i="5"/>
  <c r="J196" i="5"/>
  <c r="L193" i="5"/>
  <c r="L196" i="5" s="1"/>
  <c r="J205" i="5"/>
  <c r="L199" i="5"/>
  <c r="L205" i="5" s="1"/>
  <c r="G246" i="5"/>
  <c r="I246" i="5"/>
  <c r="G217" i="5"/>
  <c r="K217" i="5"/>
  <c r="L5" i="5"/>
  <c r="L7" i="5"/>
  <c r="L8" i="5"/>
  <c r="L9" i="5"/>
  <c r="L13" i="5"/>
  <c r="L23" i="5"/>
  <c r="J30" i="5"/>
  <c r="L30" i="5" s="1"/>
  <c r="J174" i="5"/>
  <c r="J179" i="5" s="1"/>
  <c r="L165" i="5"/>
  <c r="L174" i="5" s="1"/>
  <c r="J192" i="5"/>
  <c r="G266" i="5"/>
  <c r="I266" i="5"/>
  <c r="K246" i="5"/>
  <c r="L207" i="5"/>
  <c r="F214" i="5"/>
  <c r="F262" i="5" s="1"/>
  <c r="J212" i="5"/>
  <c r="J214" i="5" s="1"/>
  <c r="G262" i="5"/>
  <c r="I262" i="5"/>
  <c r="D217" i="5"/>
  <c r="I217" i="5"/>
  <c r="J232" i="5"/>
  <c r="J240" i="5"/>
  <c r="J241" i="5"/>
  <c r="J242" i="5"/>
  <c r="J243" i="5"/>
  <c r="J245" i="5"/>
  <c r="H246" i="5"/>
  <c r="J247" i="5"/>
  <c r="J248" i="5"/>
  <c r="J249" i="5"/>
  <c r="J250" i="5"/>
  <c r="J251" i="5"/>
  <c r="J254" i="5"/>
  <c r="J256" i="5"/>
  <c r="J258" i="5"/>
  <c r="F260" i="5"/>
  <c r="J261" i="5"/>
  <c r="J263" i="5"/>
  <c r="J264" i="5"/>
  <c r="J265" i="5"/>
  <c r="J187" i="4"/>
  <c r="J186" i="4"/>
  <c r="E218" i="5" l="1"/>
  <c r="E267" i="5"/>
  <c r="L76" i="5"/>
  <c r="D218" i="5"/>
  <c r="J113" i="5"/>
  <c r="D267" i="5"/>
  <c r="I218" i="5"/>
  <c r="L113" i="5"/>
  <c r="J156" i="5"/>
  <c r="H267" i="5"/>
  <c r="L32" i="5"/>
  <c r="G218" i="5"/>
  <c r="H218" i="5"/>
  <c r="L61" i="5"/>
  <c r="J135" i="5"/>
  <c r="J262" i="5"/>
  <c r="L135" i="5"/>
  <c r="L10" i="5"/>
  <c r="J266" i="5"/>
  <c r="L179" i="5"/>
  <c r="L156" i="5"/>
  <c r="K218" i="5"/>
  <c r="L198" i="5"/>
  <c r="K267" i="5"/>
  <c r="L48" i="5"/>
  <c r="J244" i="5"/>
  <c r="J227" i="5"/>
  <c r="J24" i="5"/>
  <c r="J234" i="5"/>
  <c r="L6" i="5"/>
  <c r="L24" i="5" s="1"/>
  <c r="J235" i="5"/>
  <c r="J236" i="5"/>
  <c r="F217" i="5"/>
  <c r="F218" i="5" s="1"/>
  <c r="G267" i="5"/>
  <c r="J260" i="5"/>
  <c r="L212" i="5"/>
  <c r="L214" i="5" s="1"/>
  <c r="L217" i="5" s="1"/>
  <c r="I267" i="5"/>
  <c r="F246" i="5"/>
  <c r="F267" i="5" s="1"/>
  <c r="J217" i="5"/>
  <c r="J198" i="5"/>
  <c r="J32" i="5"/>
  <c r="J88" i="5" s="1"/>
  <c r="F30" i="3"/>
  <c r="F25" i="3"/>
  <c r="L88" i="5" l="1"/>
  <c r="L218" i="5" s="1"/>
  <c r="J218" i="5"/>
  <c r="J246" i="5"/>
  <c r="J267" i="5" s="1"/>
  <c r="D264" i="4" l="1"/>
  <c r="D263" i="4"/>
  <c r="D262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G7" i="4" l="1"/>
  <c r="G228" i="4" s="1"/>
  <c r="F181" i="4" l="1"/>
  <c r="D182" i="4"/>
  <c r="D213" i="4"/>
  <c r="E262" i="3"/>
  <c r="F262" i="3"/>
  <c r="G262" i="3"/>
  <c r="H262" i="3"/>
  <c r="I262" i="3"/>
  <c r="K262" i="3"/>
  <c r="D262" i="3"/>
  <c r="G181" i="4"/>
  <c r="H181" i="4"/>
  <c r="J181" i="4"/>
  <c r="F207" i="4"/>
  <c r="G207" i="4"/>
  <c r="H207" i="4"/>
  <c r="J207" i="4"/>
  <c r="E248" i="3"/>
  <c r="F248" i="3"/>
  <c r="G248" i="3"/>
  <c r="H248" i="3"/>
  <c r="I248" i="3"/>
  <c r="K248" i="3"/>
  <c r="D248" i="3"/>
  <c r="J207" i="3"/>
  <c r="L207" i="3" s="1"/>
  <c r="E213" i="3"/>
  <c r="G213" i="3"/>
  <c r="H213" i="3"/>
  <c r="I213" i="3"/>
  <c r="K213" i="3"/>
  <c r="D213" i="3"/>
  <c r="F211" i="3"/>
  <c r="F213" i="3" s="1"/>
  <c r="F187" i="3"/>
  <c r="E244" i="3"/>
  <c r="F244" i="3"/>
  <c r="G244" i="3"/>
  <c r="H244" i="3"/>
  <c r="I244" i="3"/>
  <c r="K244" i="3"/>
  <c r="D244" i="3"/>
  <c r="K182" i="3"/>
  <c r="F182" i="3"/>
  <c r="G182" i="3"/>
  <c r="H182" i="3"/>
  <c r="I182" i="3"/>
  <c r="E182" i="3"/>
  <c r="E245" i="3" s="1"/>
  <c r="D182" i="3"/>
  <c r="J181" i="3"/>
  <c r="L181" i="3" s="1"/>
  <c r="I207" i="4" l="1"/>
  <c r="I181" i="4"/>
  <c r="E181" i="4" s="1"/>
  <c r="K253" i="3"/>
  <c r="F253" i="3"/>
  <c r="G253" i="3"/>
  <c r="H253" i="3"/>
  <c r="I253" i="3"/>
  <c r="E253" i="3"/>
  <c r="D253" i="3"/>
  <c r="F209" i="4"/>
  <c r="G209" i="4"/>
  <c r="H209" i="4"/>
  <c r="J209" i="4"/>
  <c r="J209" i="3"/>
  <c r="L209" i="3" s="1"/>
  <c r="E207" i="4" l="1"/>
  <c r="I209" i="4"/>
  <c r="E209" i="4" s="1"/>
  <c r="J6" i="4"/>
  <c r="J7" i="4"/>
  <c r="J8" i="4"/>
  <c r="J229" i="4" s="1"/>
  <c r="J9" i="4"/>
  <c r="J230" i="4" s="1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5" i="4"/>
  <c r="J215" i="4"/>
  <c r="J214" i="4"/>
  <c r="J212" i="4"/>
  <c r="J211" i="4"/>
  <c r="J210" i="4"/>
  <c r="J208" i="4"/>
  <c r="J206" i="4"/>
  <c r="J204" i="4"/>
  <c r="J203" i="4"/>
  <c r="J202" i="4"/>
  <c r="J201" i="4"/>
  <c r="J200" i="4"/>
  <c r="J199" i="4"/>
  <c r="J197" i="4"/>
  <c r="J262" i="4" s="1"/>
  <c r="J195" i="4"/>
  <c r="J194" i="4"/>
  <c r="J193" i="4"/>
  <c r="J191" i="4"/>
  <c r="J190" i="4"/>
  <c r="J189" i="4"/>
  <c r="J188" i="4"/>
  <c r="J185" i="4"/>
  <c r="J184" i="4"/>
  <c r="J183" i="4"/>
  <c r="J180" i="4"/>
  <c r="J182" i="4" s="1"/>
  <c r="J178" i="4"/>
  <c r="J177" i="4"/>
  <c r="J176" i="4"/>
  <c r="J175" i="4"/>
  <c r="J173" i="4"/>
  <c r="J172" i="4"/>
  <c r="J171" i="4"/>
  <c r="J170" i="4"/>
  <c r="J169" i="4"/>
  <c r="J168" i="4"/>
  <c r="J167" i="4"/>
  <c r="J166" i="4"/>
  <c r="J165" i="4"/>
  <c r="J164" i="4"/>
  <c r="J162" i="4"/>
  <c r="J161" i="4"/>
  <c r="J160" i="4"/>
  <c r="J159" i="4"/>
  <c r="J158" i="4"/>
  <c r="J157" i="4"/>
  <c r="J155" i="4"/>
  <c r="J154" i="4"/>
  <c r="J152" i="4"/>
  <c r="J151" i="4"/>
  <c r="J150" i="4"/>
  <c r="J149" i="4"/>
  <c r="J148" i="4"/>
  <c r="J147" i="4"/>
  <c r="J146" i="4"/>
  <c r="J145" i="4"/>
  <c r="J144" i="4"/>
  <c r="J142" i="4"/>
  <c r="J141" i="4"/>
  <c r="J140" i="4"/>
  <c r="J139" i="4"/>
  <c r="J138" i="4"/>
  <c r="J137" i="4"/>
  <c r="J136" i="4"/>
  <c r="J134" i="4"/>
  <c r="J133" i="4"/>
  <c r="J132" i="4"/>
  <c r="J131" i="4"/>
  <c r="J129" i="4"/>
  <c r="J128" i="4"/>
  <c r="J127" i="4"/>
  <c r="J126" i="4"/>
  <c r="J125" i="4"/>
  <c r="J124" i="4"/>
  <c r="J123" i="4"/>
  <c r="J122" i="4"/>
  <c r="J121" i="4"/>
  <c r="J119" i="4"/>
  <c r="J118" i="4"/>
  <c r="J117" i="4"/>
  <c r="J116" i="4"/>
  <c r="J115" i="4"/>
  <c r="J114" i="4"/>
  <c r="J112" i="4"/>
  <c r="J111" i="4"/>
  <c r="J110" i="4"/>
  <c r="J109" i="4"/>
  <c r="J107" i="4"/>
  <c r="J106" i="4"/>
  <c r="J105" i="4"/>
  <c r="J104" i="4"/>
  <c r="J103" i="4"/>
  <c r="J102" i="4"/>
  <c r="J101" i="4"/>
  <c r="J100" i="4"/>
  <c r="J99" i="4"/>
  <c r="J98" i="4"/>
  <c r="J97" i="4"/>
  <c r="J95" i="4"/>
  <c r="J94" i="4"/>
  <c r="J93" i="4"/>
  <c r="J92" i="4"/>
  <c r="J91" i="4"/>
  <c r="J90" i="4"/>
  <c r="J89" i="4"/>
  <c r="J87" i="4"/>
  <c r="J86" i="4"/>
  <c r="J85" i="4"/>
  <c r="J84" i="4"/>
  <c r="J83" i="4"/>
  <c r="J82" i="4"/>
  <c r="J81" i="4"/>
  <c r="J80" i="4"/>
  <c r="J78" i="4"/>
  <c r="J77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0" i="4"/>
  <c r="J59" i="4"/>
  <c r="J58" i="4"/>
  <c r="J57" i="4"/>
  <c r="J56" i="4"/>
  <c r="J55" i="4"/>
  <c r="J54" i="4"/>
  <c r="J238" i="4" s="1"/>
  <c r="J53" i="4"/>
  <c r="J237" i="4" s="1"/>
  <c r="J52" i="4"/>
  <c r="J50" i="4"/>
  <c r="J49" i="4"/>
  <c r="J47" i="4"/>
  <c r="J46" i="4"/>
  <c r="J45" i="4"/>
  <c r="J44" i="4"/>
  <c r="J257" i="4" s="1"/>
  <c r="J43" i="4"/>
  <c r="J42" i="4"/>
  <c r="J41" i="4"/>
  <c r="J254" i="4" s="1"/>
  <c r="J40" i="4"/>
  <c r="J253" i="4" s="1"/>
  <c r="J39" i="4"/>
  <c r="J38" i="4"/>
  <c r="J37" i="4"/>
  <c r="J36" i="4"/>
  <c r="J35" i="4"/>
  <c r="J34" i="4"/>
  <c r="J33" i="4"/>
  <c r="J31" i="4"/>
  <c r="J30" i="4"/>
  <c r="J29" i="4"/>
  <c r="J28" i="4"/>
  <c r="J27" i="4"/>
  <c r="J26" i="4"/>
  <c r="J25" i="4"/>
  <c r="H116" i="4"/>
  <c r="J241" i="4" l="1"/>
  <c r="J242" i="4"/>
  <c r="J251" i="4"/>
  <c r="J239" i="4"/>
  <c r="J248" i="4"/>
  <c r="J258" i="4"/>
  <c r="J260" i="4"/>
  <c r="J250" i="4"/>
  <c r="J244" i="4"/>
  <c r="J255" i="4"/>
  <c r="J231" i="4"/>
  <c r="J252" i="4"/>
  <c r="J256" i="4"/>
  <c r="J227" i="4"/>
  <c r="J259" i="4"/>
  <c r="J247" i="4"/>
  <c r="J243" i="4"/>
  <c r="J249" i="4"/>
  <c r="J240" i="4"/>
  <c r="J264" i="4"/>
  <c r="J263" i="4"/>
  <c r="J226" i="4"/>
  <c r="J232" i="4"/>
  <c r="J233" i="4"/>
  <c r="J234" i="4"/>
  <c r="J228" i="4"/>
  <c r="J235" i="4"/>
  <c r="J236" i="4"/>
  <c r="J246" i="4"/>
  <c r="J213" i="4"/>
  <c r="J48" i="4"/>
  <c r="J51" i="4"/>
  <c r="J61" i="4"/>
  <c r="J96" i="4"/>
  <c r="J130" i="4"/>
  <c r="J143" i="4"/>
  <c r="J153" i="4"/>
  <c r="J163" i="4"/>
  <c r="J174" i="4"/>
  <c r="J192" i="4"/>
  <c r="J196" i="4"/>
  <c r="J205" i="4"/>
  <c r="J32" i="4"/>
  <c r="J76" i="4"/>
  <c r="J79" i="4"/>
  <c r="J108" i="4"/>
  <c r="J113" i="4" s="1"/>
  <c r="J120" i="4"/>
  <c r="J216" i="4"/>
  <c r="J24" i="4"/>
  <c r="H215" i="4"/>
  <c r="G215" i="4"/>
  <c r="F215" i="4"/>
  <c r="H214" i="4"/>
  <c r="G214" i="4"/>
  <c r="F214" i="4"/>
  <c r="H212" i="4"/>
  <c r="G212" i="4"/>
  <c r="F212" i="4"/>
  <c r="H211" i="4"/>
  <c r="G211" i="4"/>
  <c r="F211" i="4"/>
  <c r="H210" i="4"/>
  <c r="G210" i="4"/>
  <c r="F210" i="4"/>
  <c r="H208" i="4"/>
  <c r="G208" i="4"/>
  <c r="F208" i="4"/>
  <c r="H206" i="4"/>
  <c r="G206" i="4"/>
  <c r="F206" i="4"/>
  <c r="H204" i="4"/>
  <c r="G204" i="4"/>
  <c r="F204" i="4"/>
  <c r="H203" i="4"/>
  <c r="G203" i="4"/>
  <c r="F203" i="4"/>
  <c r="H202" i="4"/>
  <c r="G202" i="4"/>
  <c r="F202" i="4"/>
  <c r="H201" i="4"/>
  <c r="G201" i="4"/>
  <c r="F201" i="4"/>
  <c r="H200" i="4"/>
  <c r="G200" i="4"/>
  <c r="F200" i="4"/>
  <c r="H199" i="4"/>
  <c r="G199" i="4"/>
  <c r="F199" i="4"/>
  <c r="H197" i="4"/>
  <c r="H262" i="4" s="1"/>
  <c r="G197" i="4"/>
  <c r="G262" i="4" s="1"/>
  <c r="F197" i="4"/>
  <c r="F262" i="4" s="1"/>
  <c r="H195" i="4"/>
  <c r="G195" i="4"/>
  <c r="F195" i="4"/>
  <c r="H194" i="4"/>
  <c r="G194" i="4"/>
  <c r="F194" i="4"/>
  <c r="H193" i="4"/>
  <c r="G193" i="4"/>
  <c r="F193" i="4"/>
  <c r="H191" i="4"/>
  <c r="G191" i="4"/>
  <c r="F191" i="4"/>
  <c r="H190" i="4"/>
  <c r="G190" i="4"/>
  <c r="F190" i="4"/>
  <c r="H189" i="4"/>
  <c r="G189" i="4"/>
  <c r="F189" i="4"/>
  <c r="H188" i="4"/>
  <c r="G188" i="4"/>
  <c r="F188" i="4"/>
  <c r="H187" i="4"/>
  <c r="G187" i="4"/>
  <c r="F187" i="4"/>
  <c r="H186" i="4"/>
  <c r="G186" i="4"/>
  <c r="F186" i="4"/>
  <c r="H185" i="4"/>
  <c r="G185" i="4"/>
  <c r="F185" i="4"/>
  <c r="H184" i="4"/>
  <c r="G184" i="4"/>
  <c r="F184" i="4"/>
  <c r="H183" i="4"/>
  <c r="G183" i="4"/>
  <c r="F183" i="4"/>
  <c r="H182" i="4"/>
  <c r="G182" i="4"/>
  <c r="F182" i="4"/>
  <c r="H180" i="4"/>
  <c r="G180" i="4"/>
  <c r="F180" i="4"/>
  <c r="H178" i="4"/>
  <c r="G178" i="4"/>
  <c r="F178" i="4"/>
  <c r="H177" i="4"/>
  <c r="G177" i="4"/>
  <c r="F177" i="4"/>
  <c r="H176" i="4"/>
  <c r="G176" i="4"/>
  <c r="F176" i="4"/>
  <c r="H175" i="4"/>
  <c r="G175" i="4"/>
  <c r="F175" i="4"/>
  <c r="H173" i="4"/>
  <c r="G173" i="4"/>
  <c r="F173" i="4"/>
  <c r="H172" i="4"/>
  <c r="G172" i="4"/>
  <c r="F172" i="4"/>
  <c r="H171" i="4"/>
  <c r="G171" i="4"/>
  <c r="F171" i="4"/>
  <c r="H170" i="4"/>
  <c r="G170" i="4"/>
  <c r="F170" i="4"/>
  <c r="H169" i="4"/>
  <c r="G169" i="4"/>
  <c r="F169" i="4"/>
  <c r="H168" i="4"/>
  <c r="G168" i="4"/>
  <c r="F168" i="4"/>
  <c r="H167" i="4"/>
  <c r="G167" i="4"/>
  <c r="F167" i="4"/>
  <c r="H166" i="4"/>
  <c r="G166" i="4"/>
  <c r="F166" i="4"/>
  <c r="H165" i="4"/>
  <c r="G165" i="4"/>
  <c r="F165" i="4"/>
  <c r="H164" i="4"/>
  <c r="G164" i="4"/>
  <c r="F164" i="4"/>
  <c r="H162" i="4"/>
  <c r="G162" i="4"/>
  <c r="F162" i="4"/>
  <c r="H161" i="4"/>
  <c r="G161" i="4"/>
  <c r="F161" i="4"/>
  <c r="H160" i="4"/>
  <c r="G160" i="4"/>
  <c r="F160" i="4"/>
  <c r="H159" i="4"/>
  <c r="G159" i="4"/>
  <c r="F159" i="4"/>
  <c r="H158" i="4"/>
  <c r="G158" i="4"/>
  <c r="F158" i="4"/>
  <c r="H157" i="4"/>
  <c r="G157" i="4"/>
  <c r="F157" i="4"/>
  <c r="H155" i="4"/>
  <c r="G155" i="4"/>
  <c r="F155" i="4"/>
  <c r="H154" i="4"/>
  <c r="G154" i="4"/>
  <c r="F154" i="4"/>
  <c r="H152" i="4"/>
  <c r="G152" i="4"/>
  <c r="F152" i="4"/>
  <c r="H151" i="4"/>
  <c r="G151" i="4"/>
  <c r="F151" i="4"/>
  <c r="H150" i="4"/>
  <c r="G150" i="4"/>
  <c r="F150" i="4"/>
  <c r="H149" i="4"/>
  <c r="G149" i="4"/>
  <c r="F149" i="4"/>
  <c r="H148" i="4"/>
  <c r="G148" i="4"/>
  <c r="F148" i="4"/>
  <c r="H147" i="4"/>
  <c r="G147" i="4"/>
  <c r="F147" i="4"/>
  <c r="H146" i="4"/>
  <c r="G146" i="4"/>
  <c r="F146" i="4"/>
  <c r="H145" i="4"/>
  <c r="G145" i="4"/>
  <c r="F145" i="4"/>
  <c r="H144" i="4"/>
  <c r="G144" i="4"/>
  <c r="F144" i="4"/>
  <c r="H142" i="4"/>
  <c r="G142" i="4"/>
  <c r="F142" i="4"/>
  <c r="H141" i="4"/>
  <c r="G141" i="4"/>
  <c r="F141" i="4"/>
  <c r="H140" i="4"/>
  <c r="G140" i="4"/>
  <c r="F140" i="4"/>
  <c r="H139" i="4"/>
  <c r="G139" i="4"/>
  <c r="F139" i="4"/>
  <c r="H138" i="4"/>
  <c r="G138" i="4"/>
  <c r="F138" i="4"/>
  <c r="H137" i="4"/>
  <c r="G137" i="4"/>
  <c r="F137" i="4"/>
  <c r="H136" i="4"/>
  <c r="G136" i="4"/>
  <c r="F136" i="4"/>
  <c r="H134" i="4"/>
  <c r="G134" i="4"/>
  <c r="F134" i="4"/>
  <c r="H133" i="4"/>
  <c r="G133" i="4"/>
  <c r="F133" i="4"/>
  <c r="H132" i="4"/>
  <c r="G132" i="4"/>
  <c r="F132" i="4"/>
  <c r="H131" i="4"/>
  <c r="G131" i="4"/>
  <c r="F131" i="4"/>
  <c r="H129" i="4"/>
  <c r="G129" i="4"/>
  <c r="F129" i="4"/>
  <c r="H128" i="4"/>
  <c r="G128" i="4"/>
  <c r="F128" i="4"/>
  <c r="H127" i="4"/>
  <c r="G127" i="4"/>
  <c r="F127" i="4"/>
  <c r="H126" i="4"/>
  <c r="G126" i="4"/>
  <c r="F126" i="4"/>
  <c r="H125" i="4"/>
  <c r="G125" i="4"/>
  <c r="F125" i="4"/>
  <c r="H124" i="4"/>
  <c r="G124" i="4"/>
  <c r="F124" i="4"/>
  <c r="H123" i="4"/>
  <c r="G123" i="4"/>
  <c r="F123" i="4"/>
  <c r="H122" i="4"/>
  <c r="G122" i="4"/>
  <c r="F122" i="4"/>
  <c r="H121" i="4"/>
  <c r="G121" i="4"/>
  <c r="F121" i="4"/>
  <c r="H119" i="4"/>
  <c r="G119" i="4"/>
  <c r="F119" i="4"/>
  <c r="H118" i="4"/>
  <c r="G118" i="4"/>
  <c r="F118" i="4"/>
  <c r="H117" i="4"/>
  <c r="G117" i="4"/>
  <c r="F117" i="4"/>
  <c r="G116" i="4"/>
  <c r="F116" i="4"/>
  <c r="H115" i="4"/>
  <c r="G115" i="4"/>
  <c r="F115" i="4"/>
  <c r="H114" i="4"/>
  <c r="G114" i="4"/>
  <c r="F114" i="4"/>
  <c r="H112" i="4"/>
  <c r="G112" i="4"/>
  <c r="F112" i="4"/>
  <c r="H111" i="4"/>
  <c r="G111" i="4"/>
  <c r="F111" i="4"/>
  <c r="H110" i="4"/>
  <c r="G110" i="4"/>
  <c r="F110" i="4"/>
  <c r="H109" i="4"/>
  <c r="G109" i="4"/>
  <c r="F109" i="4"/>
  <c r="H107" i="4"/>
  <c r="G107" i="4"/>
  <c r="F107" i="4"/>
  <c r="H106" i="4"/>
  <c r="G106" i="4"/>
  <c r="F106" i="4"/>
  <c r="H105" i="4"/>
  <c r="G105" i="4"/>
  <c r="F105" i="4"/>
  <c r="H104" i="4"/>
  <c r="G104" i="4"/>
  <c r="F104" i="4"/>
  <c r="H103" i="4"/>
  <c r="G103" i="4"/>
  <c r="F103" i="4"/>
  <c r="H102" i="4"/>
  <c r="G102" i="4"/>
  <c r="F102" i="4"/>
  <c r="H101" i="4"/>
  <c r="G101" i="4"/>
  <c r="F101" i="4"/>
  <c r="H100" i="4"/>
  <c r="G100" i="4"/>
  <c r="F100" i="4"/>
  <c r="H99" i="4"/>
  <c r="G99" i="4"/>
  <c r="F99" i="4"/>
  <c r="H98" i="4"/>
  <c r="G98" i="4"/>
  <c r="F98" i="4"/>
  <c r="H97" i="4"/>
  <c r="G97" i="4"/>
  <c r="F97" i="4"/>
  <c r="H95" i="4"/>
  <c r="G95" i="4"/>
  <c r="F95" i="4"/>
  <c r="H94" i="4"/>
  <c r="G94" i="4"/>
  <c r="F94" i="4"/>
  <c r="H93" i="4"/>
  <c r="G93" i="4"/>
  <c r="F93" i="4"/>
  <c r="H92" i="4"/>
  <c r="G92" i="4"/>
  <c r="F92" i="4"/>
  <c r="H91" i="4"/>
  <c r="G91" i="4"/>
  <c r="F91" i="4"/>
  <c r="H90" i="4"/>
  <c r="G90" i="4"/>
  <c r="F90" i="4"/>
  <c r="H89" i="4"/>
  <c r="G89" i="4"/>
  <c r="F89" i="4"/>
  <c r="H87" i="4"/>
  <c r="G87" i="4"/>
  <c r="F87" i="4"/>
  <c r="H86" i="4"/>
  <c r="G86" i="4"/>
  <c r="F86" i="4"/>
  <c r="H85" i="4"/>
  <c r="G85" i="4"/>
  <c r="F85" i="4"/>
  <c r="H84" i="4"/>
  <c r="G84" i="4"/>
  <c r="F84" i="4"/>
  <c r="H83" i="4"/>
  <c r="G83" i="4"/>
  <c r="F83" i="4"/>
  <c r="H82" i="4"/>
  <c r="G82" i="4"/>
  <c r="F82" i="4"/>
  <c r="H81" i="4"/>
  <c r="G81" i="4"/>
  <c r="F81" i="4"/>
  <c r="H80" i="4"/>
  <c r="G80" i="4"/>
  <c r="F80" i="4"/>
  <c r="H78" i="4"/>
  <c r="G78" i="4"/>
  <c r="F78" i="4"/>
  <c r="H77" i="4"/>
  <c r="G77" i="4"/>
  <c r="F77" i="4"/>
  <c r="H75" i="4"/>
  <c r="G75" i="4"/>
  <c r="F75" i="4"/>
  <c r="H74" i="4"/>
  <c r="G74" i="4"/>
  <c r="F74" i="4"/>
  <c r="H73" i="4"/>
  <c r="G73" i="4"/>
  <c r="F73" i="4"/>
  <c r="H72" i="4"/>
  <c r="G72" i="4"/>
  <c r="F72" i="4"/>
  <c r="H71" i="4"/>
  <c r="G71" i="4"/>
  <c r="F71" i="4"/>
  <c r="H70" i="4"/>
  <c r="G70" i="4"/>
  <c r="F70" i="4"/>
  <c r="H69" i="4"/>
  <c r="G69" i="4"/>
  <c r="F69" i="4"/>
  <c r="H68" i="4"/>
  <c r="G68" i="4"/>
  <c r="F68" i="4"/>
  <c r="H67" i="4"/>
  <c r="G67" i="4"/>
  <c r="F67" i="4"/>
  <c r="H66" i="4"/>
  <c r="G66" i="4"/>
  <c r="F66" i="4"/>
  <c r="H65" i="4"/>
  <c r="G65" i="4"/>
  <c r="F65" i="4"/>
  <c r="H64" i="4"/>
  <c r="G64" i="4"/>
  <c r="F64" i="4"/>
  <c r="H63" i="4"/>
  <c r="G63" i="4"/>
  <c r="F63" i="4"/>
  <c r="H62" i="4"/>
  <c r="G62" i="4"/>
  <c r="F62" i="4"/>
  <c r="H60" i="4"/>
  <c r="G60" i="4"/>
  <c r="F60" i="4"/>
  <c r="H59" i="4"/>
  <c r="G59" i="4"/>
  <c r="F59" i="4"/>
  <c r="H58" i="4"/>
  <c r="G58" i="4"/>
  <c r="F58" i="4"/>
  <c r="H57" i="4"/>
  <c r="G57" i="4"/>
  <c r="F57" i="4"/>
  <c r="H56" i="4"/>
  <c r="G56" i="4"/>
  <c r="F56" i="4"/>
  <c r="H55" i="4"/>
  <c r="G55" i="4"/>
  <c r="F55" i="4"/>
  <c r="H54" i="4"/>
  <c r="H238" i="4" s="1"/>
  <c r="G54" i="4"/>
  <c r="G238" i="4" s="1"/>
  <c r="F54" i="4"/>
  <c r="F238" i="4" s="1"/>
  <c r="H53" i="4"/>
  <c r="H237" i="4" s="1"/>
  <c r="G53" i="4"/>
  <c r="G237" i="4" s="1"/>
  <c r="F53" i="4"/>
  <c r="F237" i="4" s="1"/>
  <c r="H52" i="4"/>
  <c r="G52" i="4"/>
  <c r="F52" i="4"/>
  <c r="H50" i="4"/>
  <c r="G50" i="4"/>
  <c r="F50" i="4"/>
  <c r="H49" i="4"/>
  <c r="G49" i="4"/>
  <c r="F49" i="4"/>
  <c r="H47" i="4"/>
  <c r="G47" i="4"/>
  <c r="F47" i="4"/>
  <c r="H46" i="4"/>
  <c r="G46" i="4"/>
  <c r="F46" i="4"/>
  <c r="H45" i="4"/>
  <c r="G45" i="4"/>
  <c r="F45" i="4"/>
  <c r="H44" i="4"/>
  <c r="G44" i="4"/>
  <c r="F44" i="4"/>
  <c r="H43" i="4"/>
  <c r="G43" i="4"/>
  <c r="F43" i="4"/>
  <c r="H42" i="4"/>
  <c r="G42" i="4"/>
  <c r="F42" i="4"/>
  <c r="H41" i="4"/>
  <c r="H254" i="4" s="1"/>
  <c r="G41" i="4"/>
  <c r="G254" i="4" s="1"/>
  <c r="F41" i="4"/>
  <c r="F254" i="4" s="1"/>
  <c r="H40" i="4"/>
  <c r="G40" i="4"/>
  <c r="F40" i="4"/>
  <c r="H39" i="4"/>
  <c r="G39" i="4"/>
  <c r="F39" i="4"/>
  <c r="H38" i="4"/>
  <c r="G38" i="4"/>
  <c r="F38" i="4"/>
  <c r="H37" i="4"/>
  <c r="G37" i="4"/>
  <c r="F37" i="4"/>
  <c r="H36" i="4"/>
  <c r="G36" i="4"/>
  <c r="F36" i="4"/>
  <c r="H35" i="4"/>
  <c r="G35" i="4"/>
  <c r="F35" i="4"/>
  <c r="H34" i="4"/>
  <c r="G34" i="4"/>
  <c r="F34" i="4"/>
  <c r="H33" i="4"/>
  <c r="G33" i="4"/>
  <c r="F33" i="4"/>
  <c r="H31" i="4"/>
  <c r="G31" i="4"/>
  <c r="F31" i="4"/>
  <c r="H30" i="4"/>
  <c r="G30" i="4"/>
  <c r="F30" i="4"/>
  <c r="H29" i="4"/>
  <c r="G29" i="4"/>
  <c r="F29" i="4"/>
  <c r="H28" i="4"/>
  <c r="G28" i="4"/>
  <c r="F28" i="4"/>
  <c r="H27" i="4"/>
  <c r="G27" i="4"/>
  <c r="F27" i="4"/>
  <c r="H26" i="4"/>
  <c r="G26" i="4"/>
  <c r="F26" i="4"/>
  <c r="H25" i="4"/>
  <c r="G25" i="4"/>
  <c r="F25" i="4"/>
  <c r="H23" i="4"/>
  <c r="G23" i="4"/>
  <c r="F23" i="4"/>
  <c r="H22" i="4"/>
  <c r="G22" i="4"/>
  <c r="F22" i="4"/>
  <c r="H21" i="4"/>
  <c r="G21" i="4"/>
  <c r="F21" i="4"/>
  <c r="H20" i="4"/>
  <c r="G20" i="4"/>
  <c r="F20" i="4"/>
  <c r="H19" i="4"/>
  <c r="G19" i="4"/>
  <c r="F19" i="4"/>
  <c r="H18" i="4"/>
  <c r="G18" i="4"/>
  <c r="F18" i="4"/>
  <c r="H17" i="4"/>
  <c r="G17" i="4"/>
  <c r="F17" i="4"/>
  <c r="H16" i="4"/>
  <c r="G16" i="4"/>
  <c r="F16" i="4"/>
  <c r="H15" i="4"/>
  <c r="G15" i="4"/>
  <c r="F15" i="4"/>
  <c r="H14" i="4"/>
  <c r="G14" i="4"/>
  <c r="F14" i="4"/>
  <c r="H13" i="4"/>
  <c r="G13" i="4"/>
  <c r="F13" i="4"/>
  <c r="H12" i="4"/>
  <c r="G12" i="4"/>
  <c r="F12" i="4"/>
  <c r="H11" i="4"/>
  <c r="G11" i="4"/>
  <c r="F11" i="4"/>
  <c r="H10" i="4"/>
  <c r="H232" i="4" s="1"/>
  <c r="G10" i="4"/>
  <c r="F10" i="4"/>
  <c r="H9" i="4"/>
  <c r="H230" i="4" s="1"/>
  <c r="G9" i="4"/>
  <c r="G230" i="4" s="1"/>
  <c r="F9" i="4"/>
  <c r="F230" i="4" s="1"/>
  <c r="H8" i="4"/>
  <c r="H229" i="4" s="1"/>
  <c r="G8" i="4"/>
  <c r="G229" i="4" s="1"/>
  <c r="F8" i="4"/>
  <c r="F229" i="4" s="1"/>
  <c r="H7" i="4"/>
  <c r="H228" i="4" s="1"/>
  <c r="F7" i="4"/>
  <c r="F228" i="4" s="1"/>
  <c r="H6" i="4"/>
  <c r="G6" i="4"/>
  <c r="G227" i="4" s="1"/>
  <c r="F6" i="4"/>
  <c r="H5" i="4"/>
  <c r="G5" i="4"/>
  <c r="F5" i="4"/>
  <c r="F227" i="4" l="1"/>
  <c r="G232" i="4"/>
  <c r="H258" i="4"/>
  <c r="F232" i="4"/>
  <c r="G258" i="4"/>
  <c r="H227" i="4"/>
  <c r="F258" i="4"/>
  <c r="H231" i="4"/>
  <c r="H233" i="4"/>
  <c r="F234" i="4"/>
  <c r="H234" i="4"/>
  <c r="F236" i="4"/>
  <c r="H236" i="4"/>
  <c r="F251" i="4"/>
  <c r="H251" i="4"/>
  <c r="G244" i="4"/>
  <c r="G247" i="4"/>
  <c r="G249" i="4"/>
  <c r="G253" i="4"/>
  <c r="G248" i="4"/>
  <c r="F252" i="4"/>
  <c r="H252" i="4"/>
  <c r="G255" i="4"/>
  <c r="F256" i="4"/>
  <c r="H256" i="4"/>
  <c r="F263" i="4"/>
  <c r="H263" i="4"/>
  <c r="G264" i="4"/>
  <c r="F239" i="4"/>
  <c r="H239" i="4"/>
  <c r="G240" i="4"/>
  <c r="F241" i="4"/>
  <c r="H241" i="4"/>
  <c r="G242" i="4"/>
  <c r="F243" i="4"/>
  <c r="H243" i="4"/>
  <c r="G246" i="4"/>
  <c r="F250" i="4"/>
  <c r="H250" i="4"/>
  <c r="G257" i="4"/>
  <c r="F259" i="4"/>
  <c r="H259" i="4"/>
  <c r="G260" i="4"/>
  <c r="F231" i="4"/>
  <c r="F233" i="4"/>
  <c r="F226" i="4"/>
  <c r="F235" i="4"/>
  <c r="H235" i="4"/>
  <c r="H226" i="4"/>
  <c r="G231" i="4"/>
  <c r="G233" i="4"/>
  <c r="G234" i="4"/>
  <c r="G236" i="4"/>
  <c r="G251" i="4"/>
  <c r="F244" i="4"/>
  <c r="H244" i="4"/>
  <c r="F247" i="4"/>
  <c r="H247" i="4"/>
  <c r="F249" i="4"/>
  <c r="H249" i="4"/>
  <c r="F253" i="4"/>
  <c r="H253" i="4"/>
  <c r="F248" i="4"/>
  <c r="H248" i="4"/>
  <c r="G252" i="4"/>
  <c r="F255" i="4"/>
  <c r="H255" i="4"/>
  <c r="G256" i="4"/>
  <c r="G263" i="4"/>
  <c r="F264" i="4"/>
  <c r="H264" i="4"/>
  <c r="G239" i="4"/>
  <c r="F240" i="4"/>
  <c r="H240" i="4"/>
  <c r="G241" i="4"/>
  <c r="F242" i="4"/>
  <c r="H242" i="4"/>
  <c r="G243" i="4"/>
  <c r="F246" i="4"/>
  <c r="H246" i="4"/>
  <c r="G250" i="4"/>
  <c r="F257" i="4"/>
  <c r="H257" i="4"/>
  <c r="G259" i="4"/>
  <c r="F260" i="4"/>
  <c r="H260" i="4"/>
  <c r="J265" i="4"/>
  <c r="J261" i="4"/>
  <c r="G226" i="4"/>
  <c r="G235" i="4"/>
  <c r="J245" i="4"/>
  <c r="J88" i="4"/>
  <c r="F213" i="4"/>
  <c r="H213" i="4"/>
  <c r="G213" i="4"/>
  <c r="J198" i="4"/>
  <c r="J135" i="4"/>
  <c r="J179" i="4"/>
  <c r="J156" i="4"/>
  <c r="J182" i="3"/>
  <c r="J266" i="4" l="1"/>
  <c r="J217" i="4"/>
  <c r="H205" i="4"/>
  <c r="G205" i="4"/>
  <c r="F205" i="4"/>
  <c r="D205" i="4"/>
  <c r="H196" i="4"/>
  <c r="G196" i="4"/>
  <c r="F196" i="4"/>
  <c r="D196" i="4"/>
  <c r="H192" i="4"/>
  <c r="G192" i="4"/>
  <c r="F192" i="4"/>
  <c r="D192" i="4"/>
  <c r="H174" i="4"/>
  <c r="G174" i="4"/>
  <c r="F174" i="4"/>
  <c r="D174" i="4"/>
  <c r="H163" i="4"/>
  <c r="G163" i="4"/>
  <c r="F163" i="4"/>
  <c r="D163" i="4"/>
  <c r="H153" i="4"/>
  <c r="G153" i="4"/>
  <c r="F153" i="4"/>
  <c r="D153" i="4"/>
  <c r="H143" i="4"/>
  <c r="G143" i="4"/>
  <c r="F143" i="4"/>
  <c r="D143" i="4"/>
  <c r="H130" i="4"/>
  <c r="G130" i="4"/>
  <c r="F130" i="4"/>
  <c r="D130" i="4"/>
  <c r="H120" i="4"/>
  <c r="G120" i="4"/>
  <c r="G135" i="4" s="1"/>
  <c r="F120" i="4"/>
  <c r="D120" i="4"/>
  <c r="H108" i="4"/>
  <c r="G108" i="4"/>
  <c r="F108" i="4"/>
  <c r="D108" i="4"/>
  <c r="H96" i="4"/>
  <c r="G96" i="4"/>
  <c r="F96" i="4"/>
  <c r="D96" i="4"/>
  <c r="H79" i="4"/>
  <c r="G79" i="4"/>
  <c r="F79" i="4"/>
  <c r="D79" i="4"/>
  <c r="H76" i="4"/>
  <c r="G76" i="4"/>
  <c r="F76" i="4"/>
  <c r="D76" i="4"/>
  <c r="H61" i="4"/>
  <c r="G61" i="4"/>
  <c r="F61" i="4"/>
  <c r="D61" i="4"/>
  <c r="H51" i="4"/>
  <c r="G51" i="4"/>
  <c r="F51" i="4"/>
  <c r="D51" i="4"/>
  <c r="H48" i="4"/>
  <c r="G48" i="4"/>
  <c r="F48" i="4"/>
  <c r="D48" i="4"/>
  <c r="H32" i="4"/>
  <c r="G32" i="4"/>
  <c r="F32" i="4"/>
  <c r="D32" i="4"/>
  <c r="H24" i="4"/>
  <c r="G24" i="4"/>
  <c r="F24" i="4"/>
  <c r="D24" i="4"/>
  <c r="D226" i="3"/>
  <c r="E226" i="3"/>
  <c r="F226" i="3"/>
  <c r="G226" i="3"/>
  <c r="H226" i="3"/>
  <c r="I226" i="3"/>
  <c r="K226" i="3"/>
  <c r="D227" i="3"/>
  <c r="E227" i="3"/>
  <c r="F227" i="3"/>
  <c r="G227" i="3"/>
  <c r="H227" i="3"/>
  <c r="I227" i="3"/>
  <c r="K227" i="3"/>
  <c r="D228" i="3"/>
  <c r="E228" i="3"/>
  <c r="F228" i="3"/>
  <c r="G228" i="3"/>
  <c r="H228" i="3"/>
  <c r="I228" i="3"/>
  <c r="K228" i="3"/>
  <c r="D229" i="3"/>
  <c r="E229" i="3"/>
  <c r="F229" i="3"/>
  <c r="G229" i="3"/>
  <c r="H229" i="3"/>
  <c r="I229" i="3"/>
  <c r="K229" i="3"/>
  <c r="D230" i="3"/>
  <c r="E230" i="3"/>
  <c r="F230" i="3"/>
  <c r="G230" i="3"/>
  <c r="H230" i="3"/>
  <c r="I230" i="3"/>
  <c r="K230" i="3"/>
  <c r="D231" i="3"/>
  <c r="E231" i="3"/>
  <c r="F231" i="3"/>
  <c r="G231" i="3"/>
  <c r="H231" i="3"/>
  <c r="I231" i="3"/>
  <c r="K231" i="3"/>
  <c r="D232" i="3"/>
  <c r="E232" i="3"/>
  <c r="F232" i="3"/>
  <c r="G232" i="3"/>
  <c r="H232" i="3"/>
  <c r="I232" i="3"/>
  <c r="K232" i="3"/>
  <c r="D233" i="3"/>
  <c r="E233" i="3"/>
  <c r="F233" i="3"/>
  <c r="G233" i="3"/>
  <c r="H233" i="3"/>
  <c r="I233" i="3"/>
  <c r="K233" i="3"/>
  <c r="D234" i="3"/>
  <c r="E234" i="3"/>
  <c r="F234" i="3"/>
  <c r="G234" i="3"/>
  <c r="H234" i="3"/>
  <c r="I234" i="3"/>
  <c r="K234" i="3"/>
  <c r="D235" i="3"/>
  <c r="E235" i="3"/>
  <c r="F235" i="3"/>
  <c r="G235" i="3"/>
  <c r="H235" i="3"/>
  <c r="I235" i="3"/>
  <c r="K235" i="3"/>
  <c r="D236" i="3"/>
  <c r="E236" i="3"/>
  <c r="F236" i="3"/>
  <c r="G236" i="3"/>
  <c r="H236" i="3"/>
  <c r="I236" i="3"/>
  <c r="K236" i="3"/>
  <c r="D237" i="3"/>
  <c r="E237" i="3"/>
  <c r="F237" i="3"/>
  <c r="G237" i="3"/>
  <c r="H237" i="3"/>
  <c r="I237" i="3"/>
  <c r="K237" i="3"/>
  <c r="D238" i="3"/>
  <c r="E238" i="3"/>
  <c r="F238" i="3"/>
  <c r="G238" i="3"/>
  <c r="H238" i="3"/>
  <c r="I238" i="3"/>
  <c r="K238" i="3"/>
  <c r="D239" i="3"/>
  <c r="E239" i="3"/>
  <c r="F239" i="3"/>
  <c r="G239" i="3"/>
  <c r="H239" i="3"/>
  <c r="I239" i="3"/>
  <c r="K239" i="3"/>
  <c r="D240" i="3"/>
  <c r="E240" i="3"/>
  <c r="F240" i="3"/>
  <c r="G240" i="3"/>
  <c r="H240" i="3"/>
  <c r="I240" i="3"/>
  <c r="K240" i="3"/>
  <c r="D241" i="3"/>
  <c r="E241" i="3"/>
  <c r="F241" i="3"/>
  <c r="G241" i="3"/>
  <c r="H241" i="3"/>
  <c r="I241" i="3"/>
  <c r="K241" i="3"/>
  <c r="D242" i="3"/>
  <c r="E242" i="3"/>
  <c r="F242" i="3"/>
  <c r="G242" i="3"/>
  <c r="H242" i="3"/>
  <c r="I242" i="3"/>
  <c r="K242" i="3"/>
  <c r="D243" i="3"/>
  <c r="E243" i="3"/>
  <c r="F243" i="3"/>
  <c r="G243" i="3"/>
  <c r="H243" i="3"/>
  <c r="I243" i="3"/>
  <c r="K243" i="3"/>
  <c r="D246" i="3"/>
  <c r="E246" i="3"/>
  <c r="F246" i="3"/>
  <c r="G246" i="3"/>
  <c r="H246" i="3"/>
  <c r="I246" i="3"/>
  <c r="K246" i="3"/>
  <c r="D247" i="3"/>
  <c r="E247" i="3"/>
  <c r="F247" i="3"/>
  <c r="G247" i="3"/>
  <c r="H247" i="3"/>
  <c r="I247" i="3"/>
  <c r="K247" i="3"/>
  <c r="D249" i="3"/>
  <c r="E249" i="3"/>
  <c r="F249" i="3"/>
  <c r="G249" i="3"/>
  <c r="H249" i="3"/>
  <c r="I249" i="3"/>
  <c r="K249" i="3"/>
  <c r="D250" i="3"/>
  <c r="E250" i="3"/>
  <c r="F250" i="3"/>
  <c r="G250" i="3"/>
  <c r="H250" i="3"/>
  <c r="I250" i="3"/>
  <c r="K250" i="3"/>
  <c r="D251" i="3"/>
  <c r="E251" i="3"/>
  <c r="F251" i="3"/>
  <c r="G251" i="3"/>
  <c r="H251" i="3"/>
  <c r="I251" i="3"/>
  <c r="K251" i="3"/>
  <c r="D252" i="3"/>
  <c r="E252" i="3"/>
  <c r="F252" i="3"/>
  <c r="G252" i="3"/>
  <c r="H252" i="3"/>
  <c r="I252" i="3"/>
  <c r="K252" i="3"/>
  <c r="D254" i="3"/>
  <c r="E254" i="3"/>
  <c r="F254" i="3"/>
  <c r="G254" i="3"/>
  <c r="H254" i="3"/>
  <c r="I254" i="3"/>
  <c r="K254" i="3"/>
  <c r="D255" i="3"/>
  <c r="E255" i="3"/>
  <c r="F255" i="3"/>
  <c r="G255" i="3"/>
  <c r="H255" i="3"/>
  <c r="I255" i="3"/>
  <c r="K255" i="3"/>
  <c r="D256" i="3"/>
  <c r="E256" i="3"/>
  <c r="F256" i="3"/>
  <c r="G256" i="3"/>
  <c r="H256" i="3"/>
  <c r="I256" i="3"/>
  <c r="K256" i="3"/>
  <c r="D257" i="3"/>
  <c r="E257" i="3"/>
  <c r="F257" i="3"/>
  <c r="G257" i="3"/>
  <c r="H257" i="3"/>
  <c r="I257" i="3"/>
  <c r="K257" i="3"/>
  <c r="D258" i="3"/>
  <c r="E258" i="3"/>
  <c r="F258" i="3"/>
  <c r="G258" i="3"/>
  <c r="H258" i="3"/>
  <c r="I258" i="3"/>
  <c r="K258" i="3"/>
  <c r="D259" i="3"/>
  <c r="E259" i="3"/>
  <c r="F259" i="3"/>
  <c r="G259" i="3"/>
  <c r="H259" i="3"/>
  <c r="I259" i="3"/>
  <c r="K259" i="3"/>
  <c r="D260" i="3"/>
  <c r="E260" i="3"/>
  <c r="F260" i="3"/>
  <c r="G260" i="3"/>
  <c r="H260" i="3"/>
  <c r="I260" i="3"/>
  <c r="K260" i="3"/>
  <c r="E261" i="3"/>
  <c r="D263" i="3"/>
  <c r="E263" i="3"/>
  <c r="F263" i="3"/>
  <c r="G263" i="3"/>
  <c r="H263" i="3"/>
  <c r="I263" i="3"/>
  <c r="K263" i="3"/>
  <c r="D264" i="3"/>
  <c r="E264" i="3"/>
  <c r="F264" i="3"/>
  <c r="G264" i="3"/>
  <c r="H264" i="3"/>
  <c r="I264" i="3"/>
  <c r="K264" i="3"/>
  <c r="E265" i="3"/>
  <c r="E24" i="3"/>
  <c r="F24" i="3"/>
  <c r="G24" i="3"/>
  <c r="H24" i="3"/>
  <c r="I24" i="3"/>
  <c r="K24" i="3"/>
  <c r="E210" i="2"/>
  <c r="F210" i="2"/>
  <c r="G210" i="2"/>
  <c r="H210" i="2"/>
  <c r="I210" i="2"/>
  <c r="K210" i="2"/>
  <c r="E204" i="2"/>
  <c r="F204" i="2"/>
  <c r="G204" i="2"/>
  <c r="H204" i="2"/>
  <c r="I204" i="2"/>
  <c r="K204" i="2"/>
  <c r="E195" i="2"/>
  <c r="F195" i="2"/>
  <c r="G195" i="2"/>
  <c r="H195" i="2"/>
  <c r="I195" i="2"/>
  <c r="K195" i="2"/>
  <c r="E191" i="2"/>
  <c r="F191" i="2"/>
  <c r="G191" i="2"/>
  <c r="H191" i="2"/>
  <c r="I191" i="2"/>
  <c r="K191" i="2"/>
  <c r="E181" i="2"/>
  <c r="F181" i="2"/>
  <c r="G181" i="2"/>
  <c r="H181" i="2"/>
  <c r="I181" i="2"/>
  <c r="K181" i="2"/>
  <c r="E174" i="2"/>
  <c r="F174" i="2"/>
  <c r="G174" i="2"/>
  <c r="H174" i="2"/>
  <c r="I174" i="2"/>
  <c r="K174" i="2"/>
  <c r="E163" i="2"/>
  <c r="F163" i="2"/>
  <c r="G163" i="2"/>
  <c r="H163" i="2"/>
  <c r="I163" i="2"/>
  <c r="K163" i="2"/>
  <c r="E153" i="2"/>
  <c r="F153" i="2"/>
  <c r="G153" i="2"/>
  <c r="H153" i="2"/>
  <c r="I153" i="2"/>
  <c r="K153" i="2"/>
  <c r="E143" i="2"/>
  <c r="F143" i="2"/>
  <c r="G143" i="2"/>
  <c r="H143" i="2"/>
  <c r="I143" i="2"/>
  <c r="K143" i="2"/>
  <c r="E130" i="2"/>
  <c r="F130" i="2"/>
  <c r="G130" i="2"/>
  <c r="H130" i="2"/>
  <c r="I130" i="2"/>
  <c r="E120" i="2"/>
  <c r="E113" i="2"/>
  <c r="E88" i="2"/>
  <c r="E24" i="2"/>
  <c r="G24" i="2"/>
  <c r="H24" i="2"/>
  <c r="I24" i="2"/>
  <c r="K24" i="2"/>
  <c r="J215" i="3"/>
  <c r="J214" i="3"/>
  <c r="J212" i="3"/>
  <c r="J211" i="3"/>
  <c r="J210" i="3"/>
  <c r="J208" i="3"/>
  <c r="J206" i="3"/>
  <c r="K205" i="3"/>
  <c r="I205" i="3"/>
  <c r="H205" i="3"/>
  <c r="G205" i="3"/>
  <c r="F205" i="3"/>
  <c r="D205" i="3"/>
  <c r="J204" i="3"/>
  <c r="J203" i="3"/>
  <c r="J202" i="3"/>
  <c r="J201" i="3"/>
  <c r="J200" i="3"/>
  <c r="J199" i="3"/>
  <c r="I199" i="4" s="1"/>
  <c r="E199" i="4" s="1"/>
  <c r="J197" i="3"/>
  <c r="J262" i="3" s="1"/>
  <c r="K196" i="3"/>
  <c r="I196" i="3"/>
  <c r="H196" i="3"/>
  <c r="G196" i="3"/>
  <c r="F196" i="3"/>
  <c r="D196" i="3"/>
  <c r="J195" i="3"/>
  <c r="J194" i="3"/>
  <c r="J193" i="3"/>
  <c r="I193" i="4" s="1"/>
  <c r="E193" i="4" s="1"/>
  <c r="K192" i="3"/>
  <c r="I192" i="3"/>
  <c r="H192" i="3"/>
  <c r="G192" i="3"/>
  <c r="F192" i="3"/>
  <c r="D192" i="3"/>
  <c r="J191" i="3"/>
  <c r="J190" i="3"/>
  <c r="J189" i="3"/>
  <c r="J188" i="3"/>
  <c r="J187" i="3"/>
  <c r="J186" i="3"/>
  <c r="J185" i="3"/>
  <c r="J184" i="3"/>
  <c r="J183" i="3"/>
  <c r="J180" i="3"/>
  <c r="J178" i="3"/>
  <c r="J177" i="3"/>
  <c r="J176" i="3"/>
  <c r="J175" i="3"/>
  <c r="K174" i="3"/>
  <c r="I174" i="3"/>
  <c r="H174" i="3"/>
  <c r="G174" i="3"/>
  <c r="F174" i="3"/>
  <c r="D174" i="3"/>
  <c r="J173" i="3"/>
  <c r="J172" i="3"/>
  <c r="J171" i="3"/>
  <c r="J170" i="3"/>
  <c r="J169" i="3"/>
  <c r="J168" i="3"/>
  <c r="J167" i="3"/>
  <c r="J166" i="3"/>
  <c r="J165" i="3"/>
  <c r="J164" i="3"/>
  <c r="K163" i="3"/>
  <c r="I163" i="3"/>
  <c r="I179" i="3" s="1"/>
  <c r="H163" i="3"/>
  <c r="H179" i="3" s="1"/>
  <c r="G163" i="3"/>
  <c r="G179" i="3" s="1"/>
  <c r="F163" i="3"/>
  <c r="F179" i="3" s="1"/>
  <c r="D163" i="3"/>
  <c r="D179" i="3" s="1"/>
  <c r="J162" i="3"/>
  <c r="J161" i="3"/>
  <c r="J160" i="3"/>
  <c r="J159" i="3"/>
  <c r="J158" i="3"/>
  <c r="J157" i="3"/>
  <c r="J155" i="3"/>
  <c r="J154" i="3"/>
  <c r="K153" i="3"/>
  <c r="I153" i="3"/>
  <c r="H153" i="3"/>
  <c r="G153" i="3"/>
  <c r="F153" i="3"/>
  <c r="D153" i="3"/>
  <c r="J152" i="3"/>
  <c r="I152" i="4" s="1"/>
  <c r="E152" i="4" s="1"/>
  <c r="J151" i="3"/>
  <c r="I151" i="4" s="1"/>
  <c r="E151" i="4" s="1"/>
  <c r="J150" i="3"/>
  <c r="I150" i="4" s="1"/>
  <c r="E150" i="4" s="1"/>
  <c r="J149" i="3"/>
  <c r="I149" i="4" s="1"/>
  <c r="E149" i="4" s="1"/>
  <c r="J148" i="3"/>
  <c r="I148" i="4" s="1"/>
  <c r="E148" i="4" s="1"/>
  <c r="J147" i="3"/>
  <c r="I147" i="4" s="1"/>
  <c r="E147" i="4" s="1"/>
  <c r="J146" i="3"/>
  <c r="I146" i="4" s="1"/>
  <c r="E146" i="4" s="1"/>
  <c r="J145" i="3"/>
  <c r="I145" i="4" s="1"/>
  <c r="E145" i="4" s="1"/>
  <c r="J144" i="3"/>
  <c r="I144" i="4" s="1"/>
  <c r="E144" i="4" s="1"/>
  <c r="K143" i="3"/>
  <c r="I143" i="3"/>
  <c r="H143" i="3"/>
  <c r="G143" i="3"/>
  <c r="F143" i="3"/>
  <c r="D143" i="3"/>
  <c r="J142" i="3"/>
  <c r="J141" i="3"/>
  <c r="J140" i="3"/>
  <c r="J139" i="3"/>
  <c r="J138" i="3"/>
  <c r="J137" i="3"/>
  <c r="J136" i="3"/>
  <c r="I136" i="4" s="1"/>
  <c r="E136" i="4" s="1"/>
  <c r="J134" i="3"/>
  <c r="J133" i="3"/>
  <c r="J132" i="3"/>
  <c r="J131" i="3"/>
  <c r="K130" i="3"/>
  <c r="I130" i="3"/>
  <c r="H130" i="3"/>
  <c r="G130" i="3"/>
  <c r="F130" i="3"/>
  <c r="D130" i="3"/>
  <c r="J129" i="3"/>
  <c r="I129" i="4" s="1"/>
  <c r="E129" i="4" s="1"/>
  <c r="J128" i="3"/>
  <c r="I128" i="4" s="1"/>
  <c r="E128" i="4" s="1"/>
  <c r="J127" i="3"/>
  <c r="I127" i="4" s="1"/>
  <c r="E127" i="4" s="1"/>
  <c r="J126" i="3"/>
  <c r="I126" i="4" s="1"/>
  <c r="E126" i="4" s="1"/>
  <c r="J125" i="3"/>
  <c r="I125" i="4" s="1"/>
  <c r="E125" i="4" s="1"/>
  <c r="J124" i="3"/>
  <c r="I124" i="4" s="1"/>
  <c r="E124" i="4" s="1"/>
  <c r="J123" i="3"/>
  <c r="I123" i="4" s="1"/>
  <c r="E123" i="4" s="1"/>
  <c r="J122" i="3"/>
  <c r="I122" i="4" s="1"/>
  <c r="E122" i="4" s="1"/>
  <c r="J121" i="3"/>
  <c r="I121" i="4" s="1"/>
  <c r="E121" i="4" s="1"/>
  <c r="K120" i="3"/>
  <c r="I120" i="3"/>
  <c r="H120" i="3"/>
  <c r="G120" i="3"/>
  <c r="F120" i="3"/>
  <c r="D120" i="3"/>
  <c r="J119" i="3"/>
  <c r="J118" i="3"/>
  <c r="J117" i="3"/>
  <c r="J116" i="3"/>
  <c r="J115" i="3"/>
  <c r="J114" i="3"/>
  <c r="I114" i="4" s="1"/>
  <c r="E114" i="4" s="1"/>
  <c r="J112" i="3"/>
  <c r="J111" i="3"/>
  <c r="J110" i="3"/>
  <c r="J109" i="3"/>
  <c r="K108" i="3"/>
  <c r="I108" i="3"/>
  <c r="H108" i="3"/>
  <c r="G108" i="3"/>
  <c r="F108" i="3"/>
  <c r="D108" i="3"/>
  <c r="J107" i="3"/>
  <c r="J106" i="3"/>
  <c r="J105" i="3"/>
  <c r="J104" i="3"/>
  <c r="J103" i="3"/>
  <c r="J102" i="3"/>
  <c r="J101" i="3"/>
  <c r="J100" i="3"/>
  <c r="J99" i="3"/>
  <c r="J98" i="3"/>
  <c r="I98" i="4" s="1"/>
  <c r="E98" i="4" s="1"/>
  <c r="J97" i="3"/>
  <c r="K96" i="3"/>
  <c r="I96" i="3"/>
  <c r="H96" i="3"/>
  <c r="G96" i="3"/>
  <c r="F96" i="3"/>
  <c r="D96" i="3"/>
  <c r="J95" i="3"/>
  <c r="J94" i="3"/>
  <c r="J93" i="3"/>
  <c r="J92" i="3"/>
  <c r="J91" i="3"/>
  <c r="J90" i="3"/>
  <c r="J89" i="3"/>
  <c r="I89" i="4" s="1"/>
  <c r="J87" i="3"/>
  <c r="J86" i="3"/>
  <c r="J85" i="3"/>
  <c r="J84" i="3"/>
  <c r="J83" i="3"/>
  <c r="J82" i="3"/>
  <c r="J81" i="3"/>
  <c r="J80" i="3"/>
  <c r="K79" i="3"/>
  <c r="I79" i="3"/>
  <c r="H79" i="3"/>
  <c r="G79" i="3"/>
  <c r="F79" i="3"/>
  <c r="D79" i="3"/>
  <c r="J78" i="3"/>
  <c r="J77" i="3"/>
  <c r="I77" i="4" s="1"/>
  <c r="E77" i="4" s="1"/>
  <c r="K76" i="3"/>
  <c r="I76" i="3"/>
  <c r="H76" i="3"/>
  <c r="G76" i="3"/>
  <c r="F76" i="3"/>
  <c r="D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I63" i="4" s="1"/>
  <c r="E63" i="4" s="1"/>
  <c r="J62" i="3"/>
  <c r="K61" i="3"/>
  <c r="I61" i="3"/>
  <c r="H61" i="3"/>
  <c r="G61" i="3"/>
  <c r="F61" i="3"/>
  <c r="D61" i="3"/>
  <c r="J60" i="3"/>
  <c r="J59" i="3"/>
  <c r="J58" i="3"/>
  <c r="J57" i="3"/>
  <c r="J56" i="3"/>
  <c r="J55" i="3"/>
  <c r="J54" i="3"/>
  <c r="J53" i="3"/>
  <c r="J52" i="3"/>
  <c r="K51" i="3"/>
  <c r="I51" i="3"/>
  <c r="H51" i="3"/>
  <c r="G51" i="3"/>
  <c r="F51" i="3"/>
  <c r="D51" i="3"/>
  <c r="J50" i="3"/>
  <c r="J49" i="3"/>
  <c r="I49" i="4" s="1"/>
  <c r="E49" i="4" s="1"/>
  <c r="K48" i="3"/>
  <c r="I48" i="3"/>
  <c r="H48" i="3"/>
  <c r="G48" i="3"/>
  <c r="F48" i="3"/>
  <c r="D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I34" i="4" s="1"/>
  <c r="E34" i="4" s="1"/>
  <c r="J33" i="3"/>
  <c r="K32" i="3"/>
  <c r="I32" i="3"/>
  <c r="H32" i="3"/>
  <c r="G32" i="3"/>
  <c r="F32" i="3"/>
  <c r="D32" i="3"/>
  <c r="J31" i="3"/>
  <c r="L31" i="3" s="1"/>
  <c r="J30" i="3"/>
  <c r="L30" i="3" s="1"/>
  <c r="J29" i="3"/>
  <c r="L29" i="3" s="1"/>
  <c r="J28" i="3"/>
  <c r="L28" i="3" s="1"/>
  <c r="J27" i="3"/>
  <c r="L27" i="3" s="1"/>
  <c r="J26" i="3"/>
  <c r="L26" i="3" s="1"/>
  <c r="J25" i="3"/>
  <c r="L25" i="3" s="1"/>
  <c r="D24" i="3"/>
  <c r="J23" i="3"/>
  <c r="I23" i="4" s="1"/>
  <c r="J22" i="3"/>
  <c r="I22" i="4" s="1"/>
  <c r="J21" i="3"/>
  <c r="I21" i="4" s="1"/>
  <c r="J20" i="3"/>
  <c r="I20" i="4" s="1"/>
  <c r="J19" i="3"/>
  <c r="I19" i="4" s="1"/>
  <c r="J18" i="3"/>
  <c r="I18" i="4" s="1"/>
  <c r="J17" i="3"/>
  <c r="I17" i="4" s="1"/>
  <c r="J16" i="3"/>
  <c r="I16" i="4" s="1"/>
  <c r="J15" i="3"/>
  <c r="I15" i="4" s="1"/>
  <c r="J14" i="3"/>
  <c r="I14" i="4" s="1"/>
  <c r="J13" i="3"/>
  <c r="I13" i="4" s="1"/>
  <c r="J12" i="3"/>
  <c r="I12" i="4" s="1"/>
  <c r="J11" i="3"/>
  <c r="I11" i="4" s="1"/>
  <c r="J9" i="3"/>
  <c r="I9" i="4" s="1"/>
  <c r="I230" i="4" s="1"/>
  <c r="J8" i="3"/>
  <c r="I8" i="4" s="1"/>
  <c r="I229" i="4" s="1"/>
  <c r="J7" i="3"/>
  <c r="J6" i="3"/>
  <c r="J5" i="3"/>
  <c r="G156" i="2" l="1"/>
  <c r="G179" i="2"/>
  <c r="G197" i="2"/>
  <c r="I213" i="2"/>
  <c r="E213" i="2"/>
  <c r="K156" i="2"/>
  <c r="F156" i="2"/>
  <c r="K179" i="2"/>
  <c r="F179" i="2"/>
  <c r="K197" i="2"/>
  <c r="F197" i="2"/>
  <c r="H213" i="2"/>
  <c r="I231" i="4"/>
  <c r="I156" i="2"/>
  <c r="E156" i="2"/>
  <c r="I179" i="2"/>
  <c r="E179" i="2"/>
  <c r="I197" i="2"/>
  <c r="E197" i="2"/>
  <c r="G213" i="2"/>
  <c r="E135" i="2"/>
  <c r="H156" i="2"/>
  <c r="H179" i="2"/>
  <c r="H197" i="2"/>
  <c r="K213" i="2"/>
  <c r="F213" i="2"/>
  <c r="J227" i="3"/>
  <c r="I6" i="4"/>
  <c r="I227" i="4" s="1"/>
  <c r="J228" i="3"/>
  <c r="I7" i="4"/>
  <c r="I228" i="4" s="1"/>
  <c r="G261" i="4"/>
  <c r="F261" i="4"/>
  <c r="H261" i="4"/>
  <c r="F265" i="4"/>
  <c r="H265" i="4"/>
  <c r="F245" i="4"/>
  <c r="H245" i="4"/>
  <c r="G265" i="4"/>
  <c r="G245" i="4"/>
  <c r="J226" i="3"/>
  <c r="I5" i="4"/>
  <c r="D261" i="4"/>
  <c r="D265" i="4"/>
  <c r="D245" i="4"/>
  <c r="K179" i="3"/>
  <c r="E23" i="4"/>
  <c r="E89" i="4"/>
  <c r="D261" i="3"/>
  <c r="I261" i="3"/>
  <c r="D135" i="3"/>
  <c r="G135" i="3"/>
  <c r="I135" i="3"/>
  <c r="D156" i="3"/>
  <c r="G156" i="3"/>
  <c r="I156" i="3"/>
  <c r="H261" i="3"/>
  <c r="J213" i="3"/>
  <c r="E266" i="3"/>
  <c r="K261" i="3"/>
  <c r="D265" i="3"/>
  <c r="G265" i="3"/>
  <c r="I265" i="3"/>
  <c r="F245" i="3"/>
  <c r="H245" i="3"/>
  <c r="K245" i="3"/>
  <c r="L215" i="3"/>
  <c r="I215" i="4"/>
  <c r="E215" i="4" s="1"/>
  <c r="K265" i="3"/>
  <c r="D113" i="3"/>
  <c r="G113" i="3"/>
  <c r="I113" i="3"/>
  <c r="K135" i="3"/>
  <c r="K156" i="3"/>
  <c r="F265" i="3"/>
  <c r="H265" i="3"/>
  <c r="D245" i="3"/>
  <c r="G245" i="3"/>
  <c r="I245" i="3"/>
  <c r="L214" i="3"/>
  <c r="I214" i="4"/>
  <c r="E214" i="4" s="1"/>
  <c r="J248" i="3"/>
  <c r="J244" i="3"/>
  <c r="L197" i="3"/>
  <c r="I197" i="4"/>
  <c r="I262" i="4" s="1"/>
  <c r="G261" i="3"/>
  <c r="I29" i="4"/>
  <c r="E29" i="4" s="1"/>
  <c r="J253" i="3"/>
  <c r="I27" i="4"/>
  <c r="E27" i="4" s="1"/>
  <c r="E130" i="4"/>
  <c r="E153" i="4"/>
  <c r="J230" i="3"/>
  <c r="L12" i="3"/>
  <c r="E12" i="4"/>
  <c r="L14" i="3"/>
  <c r="E14" i="4"/>
  <c r="L16" i="3"/>
  <c r="E16" i="4"/>
  <c r="L18" i="3"/>
  <c r="E18" i="4"/>
  <c r="L20" i="3"/>
  <c r="E20" i="4"/>
  <c r="L22" i="3"/>
  <c r="E22" i="4"/>
  <c r="L33" i="3"/>
  <c r="I33" i="4"/>
  <c r="E33" i="4" s="1"/>
  <c r="L35" i="3"/>
  <c r="I35" i="4"/>
  <c r="E35" i="4" s="1"/>
  <c r="L37" i="3"/>
  <c r="I37" i="4"/>
  <c r="E37" i="4" s="1"/>
  <c r="L39" i="3"/>
  <c r="I39" i="4"/>
  <c r="E39" i="4" s="1"/>
  <c r="J254" i="3"/>
  <c r="I41" i="4"/>
  <c r="I254" i="4" s="1"/>
  <c r="L43" i="3"/>
  <c r="I43" i="4"/>
  <c r="E43" i="4" s="1"/>
  <c r="L45" i="3"/>
  <c r="I45" i="4"/>
  <c r="L50" i="3"/>
  <c r="I50" i="4"/>
  <c r="L53" i="3"/>
  <c r="I53" i="4"/>
  <c r="I237" i="4" s="1"/>
  <c r="L55" i="3"/>
  <c r="I55" i="4"/>
  <c r="E55" i="4" s="1"/>
  <c r="L57" i="3"/>
  <c r="I57" i="4"/>
  <c r="E57" i="4" s="1"/>
  <c r="L59" i="3"/>
  <c r="I59" i="4"/>
  <c r="E59" i="4" s="1"/>
  <c r="L62" i="3"/>
  <c r="I62" i="4"/>
  <c r="E62" i="4" s="1"/>
  <c r="L64" i="3"/>
  <c r="I64" i="4"/>
  <c r="L66" i="3"/>
  <c r="I66" i="4"/>
  <c r="E66" i="4" s="1"/>
  <c r="L68" i="3"/>
  <c r="I68" i="4"/>
  <c r="E68" i="4" s="1"/>
  <c r="L70" i="3"/>
  <c r="I70" i="4"/>
  <c r="E70" i="4" s="1"/>
  <c r="L72" i="3"/>
  <c r="I72" i="4"/>
  <c r="E72" i="4" s="1"/>
  <c r="L74" i="3"/>
  <c r="I74" i="4"/>
  <c r="E74" i="4" s="1"/>
  <c r="L80" i="3"/>
  <c r="I80" i="4"/>
  <c r="E80" i="4" s="1"/>
  <c r="L82" i="3"/>
  <c r="I82" i="4"/>
  <c r="E82" i="4" s="1"/>
  <c r="L84" i="3"/>
  <c r="I84" i="4"/>
  <c r="E84" i="4" s="1"/>
  <c r="L86" i="3"/>
  <c r="I86" i="4"/>
  <c r="E86" i="4" s="1"/>
  <c r="L91" i="3"/>
  <c r="I91" i="4"/>
  <c r="E91" i="4" s="1"/>
  <c r="L93" i="3"/>
  <c r="I93" i="4"/>
  <c r="E93" i="4" s="1"/>
  <c r="L95" i="3"/>
  <c r="I95" i="4"/>
  <c r="E95" i="4" s="1"/>
  <c r="L100" i="3"/>
  <c r="I100" i="4"/>
  <c r="E100" i="4" s="1"/>
  <c r="L102" i="3"/>
  <c r="I102" i="4"/>
  <c r="L104" i="3"/>
  <c r="I104" i="4"/>
  <c r="E104" i="4" s="1"/>
  <c r="L106" i="3"/>
  <c r="I106" i="4"/>
  <c r="E106" i="4" s="1"/>
  <c r="L109" i="3"/>
  <c r="I109" i="4"/>
  <c r="E109" i="4" s="1"/>
  <c r="L111" i="3"/>
  <c r="I111" i="4"/>
  <c r="E111" i="4" s="1"/>
  <c r="L116" i="3"/>
  <c r="I116" i="4"/>
  <c r="E116" i="4" s="1"/>
  <c r="L118" i="3"/>
  <c r="I118" i="4"/>
  <c r="E118" i="4" s="1"/>
  <c r="L132" i="3"/>
  <c r="I132" i="4"/>
  <c r="E132" i="4" s="1"/>
  <c r="L134" i="3"/>
  <c r="I134" i="4"/>
  <c r="E134" i="4" s="1"/>
  <c r="L137" i="3"/>
  <c r="I137" i="4"/>
  <c r="L139" i="3"/>
  <c r="I139" i="4"/>
  <c r="E139" i="4" s="1"/>
  <c r="L141" i="3"/>
  <c r="I141" i="4"/>
  <c r="E141" i="4" s="1"/>
  <c r="L155" i="3"/>
  <c r="I155" i="4"/>
  <c r="E155" i="4" s="1"/>
  <c r="L158" i="3"/>
  <c r="I158" i="4"/>
  <c r="E158" i="4" s="1"/>
  <c r="L160" i="3"/>
  <c r="I160" i="4"/>
  <c r="E160" i="4" s="1"/>
  <c r="L162" i="3"/>
  <c r="I162" i="4"/>
  <c r="J247" i="3"/>
  <c r="I165" i="4"/>
  <c r="I247" i="4" s="1"/>
  <c r="L167" i="3"/>
  <c r="I167" i="4"/>
  <c r="L169" i="3"/>
  <c r="I169" i="4"/>
  <c r="L171" i="3"/>
  <c r="I171" i="4"/>
  <c r="E171" i="4" s="1"/>
  <c r="L173" i="3"/>
  <c r="I173" i="4"/>
  <c r="E173" i="4" s="1"/>
  <c r="L176" i="3"/>
  <c r="I176" i="4"/>
  <c r="E176" i="4" s="1"/>
  <c r="L178" i="3"/>
  <c r="I178" i="4"/>
  <c r="E178" i="4" s="1"/>
  <c r="L183" i="3"/>
  <c r="I183" i="4"/>
  <c r="E183" i="4" s="1"/>
  <c r="L185" i="3"/>
  <c r="I185" i="4"/>
  <c r="I252" i="4" s="1"/>
  <c r="L187" i="3"/>
  <c r="I187" i="4"/>
  <c r="L189" i="3"/>
  <c r="I189" i="4"/>
  <c r="E189" i="4" s="1"/>
  <c r="L191" i="3"/>
  <c r="I191" i="4"/>
  <c r="E191" i="4" s="1"/>
  <c r="L194" i="3"/>
  <c r="I194" i="4"/>
  <c r="I263" i="4" s="1"/>
  <c r="L200" i="3"/>
  <c r="I200" i="4"/>
  <c r="L202" i="3"/>
  <c r="I202" i="4"/>
  <c r="L204" i="3"/>
  <c r="I204" i="4"/>
  <c r="J250" i="3"/>
  <c r="I208" i="4"/>
  <c r="I130" i="4"/>
  <c r="I153" i="4"/>
  <c r="J229" i="3"/>
  <c r="L11" i="3"/>
  <c r="E11" i="4"/>
  <c r="L13" i="3"/>
  <c r="L15" i="3"/>
  <c r="E15" i="4"/>
  <c r="L17" i="3"/>
  <c r="E17" i="4"/>
  <c r="L19" i="3"/>
  <c r="E19" i="4"/>
  <c r="L21" i="3"/>
  <c r="E21" i="4"/>
  <c r="L32" i="3"/>
  <c r="L36" i="3"/>
  <c r="I36" i="4"/>
  <c r="E36" i="4" s="1"/>
  <c r="L38" i="3"/>
  <c r="I38" i="4"/>
  <c r="E38" i="4" s="1"/>
  <c r="L42" i="3"/>
  <c r="I42" i="4"/>
  <c r="E42" i="4" s="1"/>
  <c r="L44" i="3"/>
  <c r="I44" i="4"/>
  <c r="E44" i="4" s="1"/>
  <c r="L46" i="3"/>
  <c r="I46" i="4"/>
  <c r="E46" i="4" s="1"/>
  <c r="J61" i="3"/>
  <c r="I52" i="4"/>
  <c r="L54" i="3"/>
  <c r="I54" i="4"/>
  <c r="I238" i="4" s="1"/>
  <c r="L56" i="3"/>
  <c r="I56" i="4"/>
  <c r="E56" i="4" s="1"/>
  <c r="L58" i="3"/>
  <c r="I58" i="4"/>
  <c r="E58" i="4" s="1"/>
  <c r="L60" i="3"/>
  <c r="I60" i="4"/>
  <c r="E60" i="4" s="1"/>
  <c r="L65" i="3"/>
  <c r="I65" i="4"/>
  <c r="E65" i="4" s="1"/>
  <c r="L67" i="3"/>
  <c r="I67" i="4"/>
  <c r="E67" i="4" s="1"/>
  <c r="L69" i="3"/>
  <c r="I69" i="4"/>
  <c r="E69" i="4" s="1"/>
  <c r="L71" i="3"/>
  <c r="I71" i="4"/>
  <c r="E71" i="4" s="1"/>
  <c r="L73" i="3"/>
  <c r="I73" i="4"/>
  <c r="E73" i="4" s="1"/>
  <c r="L75" i="3"/>
  <c r="I75" i="4"/>
  <c r="E75" i="4" s="1"/>
  <c r="L78" i="3"/>
  <c r="I78" i="4"/>
  <c r="E78" i="4" s="1"/>
  <c r="E79" i="4" s="1"/>
  <c r="L81" i="3"/>
  <c r="I81" i="4"/>
  <c r="E81" i="4" s="1"/>
  <c r="L83" i="3"/>
  <c r="I83" i="4"/>
  <c r="E83" i="4" s="1"/>
  <c r="L85" i="3"/>
  <c r="I85" i="4"/>
  <c r="E85" i="4" s="1"/>
  <c r="L87" i="3"/>
  <c r="I87" i="4"/>
  <c r="E87" i="4" s="1"/>
  <c r="L90" i="3"/>
  <c r="I90" i="4"/>
  <c r="E90" i="4" s="1"/>
  <c r="L92" i="3"/>
  <c r="I92" i="4"/>
  <c r="E92" i="4" s="1"/>
  <c r="L94" i="3"/>
  <c r="I94" i="4"/>
  <c r="E94" i="4" s="1"/>
  <c r="L97" i="3"/>
  <c r="I97" i="4"/>
  <c r="E97" i="4" s="1"/>
  <c r="L99" i="3"/>
  <c r="I99" i="4"/>
  <c r="E99" i="4" s="1"/>
  <c r="L101" i="3"/>
  <c r="I101" i="4"/>
  <c r="E101" i="4" s="1"/>
  <c r="L103" i="3"/>
  <c r="I103" i="4"/>
  <c r="E103" i="4" s="1"/>
  <c r="L105" i="3"/>
  <c r="I105" i="4"/>
  <c r="E105" i="4" s="1"/>
  <c r="L107" i="3"/>
  <c r="I107" i="4"/>
  <c r="E107" i="4" s="1"/>
  <c r="L110" i="3"/>
  <c r="I110" i="4"/>
  <c r="E110" i="4" s="1"/>
  <c r="L112" i="3"/>
  <c r="I112" i="4"/>
  <c r="E112" i="4" s="1"/>
  <c r="L115" i="3"/>
  <c r="I115" i="4"/>
  <c r="E115" i="4" s="1"/>
  <c r="L117" i="3"/>
  <c r="I117" i="4"/>
  <c r="E117" i="4" s="1"/>
  <c r="L119" i="3"/>
  <c r="I119" i="4"/>
  <c r="E119" i="4" s="1"/>
  <c r="L121" i="3"/>
  <c r="L122" i="3"/>
  <c r="L123" i="3"/>
  <c r="L124" i="3"/>
  <c r="L125" i="3"/>
  <c r="L126" i="3"/>
  <c r="L127" i="3"/>
  <c r="L128" i="3"/>
  <c r="L129" i="3"/>
  <c r="J130" i="3"/>
  <c r="L131" i="3"/>
  <c r="I131" i="4"/>
  <c r="E131" i="4" s="1"/>
  <c r="L133" i="3"/>
  <c r="I133" i="4"/>
  <c r="E133" i="4" s="1"/>
  <c r="L138" i="3"/>
  <c r="I138" i="4"/>
  <c r="E138" i="4" s="1"/>
  <c r="L140" i="3"/>
  <c r="I140" i="4"/>
  <c r="E140" i="4" s="1"/>
  <c r="L142" i="3"/>
  <c r="I142" i="4"/>
  <c r="E142" i="4" s="1"/>
  <c r="L144" i="3"/>
  <c r="L145" i="3"/>
  <c r="L146" i="3"/>
  <c r="L147" i="3"/>
  <c r="L148" i="3"/>
  <c r="L149" i="3"/>
  <c r="L150" i="3"/>
  <c r="L151" i="3"/>
  <c r="L152" i="3"/>
  <c r="J153" i="3"/>
  <c r="L154" i="3"/>
  <c r="I154" i="4"/>
  <c r="E154" i="4" s="1"/>
  <c r="L157" i="3"/>
  <c r="I157" i="4"/>
  <c r="E157" i="4" s="1"/>
  <c r="L159" i="3"/>
  <c r="I159" i="4"/>
  <c r="E159" i="4" s="1"/>
  <c r="L161" i="3"/>
  <c r="I161" i="4"/>
  <c r="E161" i="4" s="1"/>
  <c r="L164" i="3"/>
  <c r="I164" i="4"/>
  <c r="E164" i="4" s="1"/>
  <c r="L166" i="3"/>
  <c r="I166" i="4"/>
  <c r="E166" i="4" s="1"/>
  <c r="L168" i="3"/>
  <c r="I168" i="4"/>
  <c r="E168" i="4" s="1"/>
  <c r="L170" i="3"/>
  <c r="I170" i="4"/>
  <c r="E170" i="4" s="1"/>
  <c r="L172" i="3"/>
  <c r="I172" i="4"/>
  <c r="E172" i="4" s="1"/>
  <c r="L175" i="3"/>
  <c r="I175" i="4"/>
  <c r="E175" i="4" s="1"/>
  <c r="L177" i="3"/>
  <c r="I177" i="4"/>
  <c r="E177" i="4" s="1"/>
  <c r="L180" i="3"/>
  <c r="L182" i="3" s="1"/>
  <c r="I180" i="4"/>
  <c r="I182" i="4" s="1"/>
  <c r="I184" i="4"/>
  <c r="L186" i="3"/>
  <c r="I186" i="4"/>
  <c r="L188" i="3"/>
  <c r="I188" i="4"/>
  <c r="E188" i="4" s="1"/>
  <c r="L190" i="3"/>
  <c r="I190" i="4"/>
  <c r="E190" i="4" s="1"/>
  <c r="L195" i="3"/>
  <c r="I195" i="4"/>
  <c r="L201" i="3"/>
  <c r="I201" i="4"/>
  <c r="L203" i="3"/>
  <c r="I203" i="4"/>
  <c r="L206" i="3"/>
  <c r="I206" i="4"/>
  <c r="L210" i="3"/>
  <c r="I210" i="4"/>
  <c r="L212" i="3"/>
  <c r="I212" i="4"/>
  <c r="I31" i="4"/>
  <c r="E31" i="4" s="1"/>
  <c r="I28" i="4"/>
  <c r="E28" i="4" s="1"/>
  <c r="I26" i="4"/>
  <c r="E26" i="4" s="1"/>
  <c r="L211" i="3"/>
  <c r="I211" i="4"/>
  <c r="L47" i="3"/>
  <c r="I47" i="4"/>
  <c r="E47" i="4" s="1"/>
  <c r="L40" i="3"/>
  <c r="I40" i="4"/>
  <c r="I25" i="4"/>
  <c r="I30" i="4"/>
  <c r="D198" i="4"/>
  <c r="G198" i="4"/>
  <c r="G216" i="4"/>
  <c r="D113" i="4"/>
  <c r="F113" i="4"/>
  <c r="H113" i="4"/>
  <c r="F198" i="4"/>
  <c r="H198" i="4"/>
  <c r="G88" i="4"/>
  <c r="D179" i="4"/>
  <c r="F179" i="4"/>
  <c r="H179" i="4"/>
  <c r="D88" i="4"/>
  <c r="F88" i="4"/>
  <c r="H88" i="4"/>
  <c r="G113" i="4"/>
  <c r="D135" i="4"/>
  <c r="F135" i="4"/>
  <c r="H135" i="4"/>
  <c r="D156" i="4"/>
  <c r="F156" i="4"/>
  <c r="H156" i="4"/>
  <c r="G179" i="4"/>
  <c r="G156" i="4"/>
  <c r="F216" i="4"/>
  <c r="D216" i="4"/>
  <c r="H216" i="4"/>
  <c r="J48" i="3"/>
  <c r="J236" i="3"/>
  <c r="J234" i="3"/>
  <c r="F261" i="3"/>
  <c r="J264" i="3"/>
  <c r="J263" i="3"/>
  <c r="J260" i="3"/>
  <c r="J259" i="3"/>
  <c r="J258" i="3"/>
  <c r="J257" i="3"/>
  <c r="J256" i="3"/>
  <c r="J255" i="3"/>
  <c r="J252" i="3"/>
  <c r="J251" i="3"/>
  <c r="J249" i="3"/>
  <c r="J246" i="3"/>
  <c r="J243" i="3"/>
  <c r="J242" i="3"/>
  <c r="J241" i="3"/>
  <c r="J240" i="3"/>
  <c r="J239" i="3"/>
  <c r="J238" i="3"/>
  <c r="J237" i="3"/>
  <c r="J231" i="3"/>
  <c r="L52" i="3"/>
  <c r="J79" i="3"/>
  <c r="J108" i="3"/>
  <c r="K88" i="3"/>
  <c r="L34" i="3"/>
  <c r="L41" i="3"/>
  <c r="L77" i="3"/>
  <c r="K113" i="3"/>
  <c r="L98" i="3"/>
  <c r="D198" i="3"/>
  <c r="K198" i="3"/>
  <c r="G198" i="3"/>
  <c r="I198" i="3"/>
  <c r="J51" i="3"/>
  <c r="L49" i="3"/>
  <c r="J76" i="3"/>
  <c r="L63" i="3"/>
  <c r="J96" i="3"/>
  <c r="L89" i="3"/>
  <c r="J120" i="3"/>
  <c r="L114" i="3"/>
  <c r="L23" i="3"/>
  <c r="J32" i="3"/>
  <c r="D88" i="3"/>
  <c r="G88" i="3"/>
  <c r="I88" i="3"/>
  <c r="J143" i="3"/>
  <c r="L136" i="3"/>
  <c r="F88" i="3"/>
  <c r="H88" i="3"/>
  <c r="F113" i="3"/>
  <c r="H113" i="3"/>
  <c r="F135" i="3"/>
  <c r="H135" i="3"/>
  <c r="F198" i="3"/>
  <c r="H198" i="3"/>
  <c r="F216" i="3"/>
  <c r="H216" i="3"/>
  <c r="F156" i="3"/>
  <c r="H156" i="3"/>
  <c r="J174" i="3"/>
  <c r="L165" i="3"/>
  <c r="J192" i="3"/>
  <c r="L184" i="3"/>
  <c r="J196" i="3"/>
  <c r="L193" i="3"/>
  <c r="J205" i="3"/>
  <c r="L199" i="3"/>
  <c r="G216" i="3"/>
  <c r="K216" i="3"/>
  <c r="L5" i="3"/>
  <c r="L6" i="3"/>
  <c r="L7" i="3"/>
  <c r="L8" i="3"/>
  <c r="L9" i="3"/>
  <c r="J10" i="3"/>
  <c r="I10" i="4" s="1"/>
  <c r="J163" i="3"/>
  <c r="L208" i="3"/>
  <c r="D216" i="3"/>
  <c r="I216" i="3"/>
  <c r="E253" i="2"/>
  <c r="E232" i="2"/>
  <c r="G232" i="2"/>
  <c r="H232" i="2"/>
  <c r="I232" i="2"/>
  <c r="K232" i="2"/>
  <c r="D232" i="2"/>
  <c r="D230" i="2"/>
  <c r="D231" i="2"/>
  <c r="D233" i="2"/>
  <c r="D234" i="2"/>
  <c r="D235" i="2"/>
  <c r="D236" i="2"/>
  <c r="D237" i="2"/>
  <c r="D238" i="2"/>
  <c r="D239" i="2"/>
  <c r="D240" i="2"/>
  <c r="D241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9" i="2"/>
  <c r="D260" i="2"/>
  <c r="D223" i="2"/>
  <c r="D224" i="2"/>
  <c r="D225" i="2"/>
  <c r="D226" i="2"/>
  <c r="D227" i="2"/>
  <c r="D228" i="2"/>
  <c r="D229" i="2"/>
  <c r="D210" i="2"/>
  <c r="D204" i="2"/>
  <c r="D195" i="2"/>
  <c r="D191" i="2"/>
  <c r="D181" i="2"/>
  <c r="D174" i="2"/>
  <c r="D163" i="2"/>
  <c r="D153" i="2"/>
  <c r="D143" i="2"/>
  <c r="D130" i="2"/>
  <c r="D120" i="2"/>
  <c r="D108" i="2"/>
  <c r="D96" i="2"/>
  <c r="D79" i="2"/>
  <c r="D76" i="2"/>
  <c r="D61" i="2"/>
  <c r="D51" i="2"/>
  <c r="D48" i="2"/>
  <c r="D32" i="2"/>
  <c r="D24" i="2"/>
  <c r="I248" i="4" l="1"/>
  <c r="E214" i="2"/>
  <c r="I257" i="4"/>
  <c r="I242" i="4"/>
  <c r="I264" i="4"/>
  <c r="D113" i="2"/>
  <c r="D156" i="2"/>
  <c r="D197" i="2"/>
  <c r="I249" i="4"/>
  <c r="I260" i="4"/>
  <c r="I246" i="4"/>
  <c r="I240" i="4"/>
  <c r="I255" i="4"/>
  <c r="D88" i="2"/>
  <c r="D135" i="2"/>
  <c r="D179" i="2"/>
  <c r="I259" i="4"/>
  <c r="I234" i="4"/>
  <c r="I250" i="4"/>
  <c r="I241" i="4"/>
  <c r="I239" i="4"/>
  <c r="I256" i="4"/>
  <c r="I253" i="4"/>
  <c r="I244" i="4"/>
  <c r="I251" i="4"/>
  <c r="I258" i="4"/>
  <c r="H266" i="4"/>
  <c r="G266" i="4"/>
  <c r="F266" i="4"/>
  <c r="E5" i="4"/>
  <c r="E226" i="4" s="1"/>
  <c r="I226" i="4"/>
  <c r="E30" i="4"/>
  <c r="I243" i="4"/>
  <c r="E25" i="4"/>
  <c r="I236" i="4"/>
  <c r="I232" i="4"/>
  <c r="I235" i="4"/>
  <c r="I233" i="4"/>
  <c r="D266" i="4"/>
  <c r="E6" i="4"/>
  <c r="E212" i="4"/>
  <c r="E260" i="4" s="1"/>
  <c r="E210" i="4"/>
  <c r="E257" i="4" s="1"/>
  <c r="E206" i="4"/>
  <c r="E246" i="4" s="1"/>
  <c r="E203" i="4"/>
  <c r="E242" i="4" s="1"/>
  <c r="E201" i="4"/>
  <c r="E240" i="4" s="1"/>
  <c r="E195" i="4"/>
  <c r="E186" i="4"/>
  <c r="E255" i="4" s="1"/>
  <c r="E184" i="4"/>
  <c r="E13" i="4"/>
  <c r="E8" i="4"/>
  <c r="E229" i="4" s="1"/>
  <c r="E208" i="4"/>
  <c r="E250" i="4" s="1"/>
  <c r="I213" i="4"/>
  <c r="E204" i="4"/>
  <c r="E202" i="4"/>
  <c r="E241" i="4" s="1"/>
  <c r="E200" i="4"/>
  <c r="E194" i="4"/>
  <c r="E263" i="4" s="1"/>
  <c r="E187" i="4"/>
  <c r="E256" i="4" s="1"/>
  <c r="E185" i="4"/>
  <c r="E252" i="4" s="1"/>
  <c r="E169" i="4"/>
  <c r="E167" i="4"/>
  <c r="E249" i="4" s="1"/>
  <c r="E165" i="4"/>
  <c r="E247" i="4" s="1"/>
  <c r="E162" i="4"/>
  <c r="E244" i="4" s="1"/>
  <c r="E102" i="4"/>
  <c r="E53" i="4"/>
  <c r="E237" i="4" s="1"/>
  <c r="E45" i="4"/>
  <c r="E258" i="4" s="1"/>
  <c r="E41" i="4"/>
  <c r="E254" i="4" s="1"/>
  <c r="E9" i="4"/>
  <c r="E230" i="4" s="1"/>
  <c r="E197" i="4"/>
  <c r="E262" i="4" s="1"/>
  <c r="E7" i="4"/>
  <c r="E228" i="4" s="1"/>
  <c r="E211" i="4"/>
  <c r="E259" i="4" s="1"/>
  <c r="E54" i="4"/>
  <c r="E238" i="4" s="1"/>
  <c r="H266" i="3"/>
  <c r="G266" i="3"/>
  <c r="L213" i="3"/>
  <c r="L143" i="3"/>
  <c r="J135" i="3"/>
  <c r="F266" i="3"/>
  <c r="K266" i="3"/>
  <c r="I266" i="3"/>
  <c r="D266" i="3"/>
  <c r="I79" i="4"/>
  <c r="J265" i="3"/>
  <c r="L79" i="3"/>
  <c r="I205" i="4"/>
  <c r="I32" i="4"/>
  <c r="I163" i="4"/>
  <c r="J245" i="3"/>
  <c r="D217" i="3"/>
  <c r="L163" i="3"/>
  <c r="I192" i="4"/>
  <c r="E120" i="4"/>
  <c r="E135" i="4" s="1"/>
  <c r="E96" i="4"/>
  <c r="E180" i="4"/>
  <c r="E182" i="4"/>
  <c r="L153" i="3"/>
  <c r="L130" i="3"/>
  <c r="E52" i="4"/>
  <c r="I61" i="4"/>
  <c r="J233" i="3"/>
  <c r="L205" i="3"/>
  <c r="L196" i="3"/>
  <c r="L192" i="3"/>
  <c r="L174" i="3"/>
  <c r="J156" i="3"/>
  <c r="L120" i="3"/>
  <c r="L96" i="3"/>
  <c r="L76" i="3"/>
  <c r="L51" i="3"/>
  <c r="L108" i="3"/>
  <c r="L61" i="3"/>
  <c r="I196" i="4"/>
  <c r="I174" i="4"/>
  <c r="I96" i="4"/>
  <c r="I108" i="4"/>
  <c r="I120" i="4"/>
  <c r="I135" i="4" s="1"/>
  <c r="E137" i="4"/>
  <c r="E143" i="4" s="1"/>
  <c r="E156" i="4" s="1"/>
  <c r="I143" i="4"/>
  <c r="I156" i="4" s="1"/>
  <c r="E64" i="4"/>
  <c r="E76" i="4" s="1"/>
  <c r="I76" i="4"/>
  <c r="E50" i="4"/>
  <c r="E51" i="4" s="1"/>
  <c r="I51" i="4"/>
  <c r="E40" i="4"/>
  <c r="I48" i="4"/>
  <c r="H217" i="4"/>
  <c r="G217" i="4"/>
  <c r="F217" i="4"/>
  <c r="D217" i="4"/>
  <c r="J261" i="3"/>
  <c r="J24" i="3"/>
  <c r="J232" i="3"/>
  <c r="K217" i="3"/>
  <c r="J113" i="3"/>
  <c r="J235" i="3"/>
  <c r="J88" i="3"/>
  <c r="F217" i="3"/>
  <c r="L48" i="3"/>
  <c r="J179" i="3"/>
  <c r="G217" i="3"/>
  <c r="H217" i="3"/>
  <c r="I217" i="3"/>
  <c r="J198" i="3"/>
  <c r="L10" i="3"/>
  <c r="L24" i="3" s="1"/>
  <c r="J216" i="3"/>
  <c r="D261" i="2"/>
  <c r="D258" i="2"/>
  <c r="D242" i="2"/>
  <c r="D213" i="2"/>
  <c r="F10" i="2"/>
  <c r="E196" i="4" l="1"/>
  <c r="D214" i="2"/>
  <c r="F24" i="2"/>
  <c r="F232" i="2"/>
  <c r="L135" i="3"/>
  <c r="E236" i="4"/>
  <c r="E32" i="4"/>
  <c r="I245" i="4"/>
  <c r="E108" i="4"/>
  <c r="E113" i="4" s="1"/>
  <c r="E251" i="4"/>
  <c r="E253" i="4"/>
  <c r="E239" i="4"/>
  <c r="E243" i="4"/>
  <c r="I265" i="4"/>
  <c r="E265" i="4"/>
  <c r="I261" i="4"/>
  <c r="E248" i="4"/>
  <c r="E264" i="4"/>
  <c r="L216" i="3"/>
  <c r="E227" i="4"/>
  <c r="E231" i="4"/>
  <c r="E234" i="4"/>
  <c r="E163" i="4"/>
  <c r="E48" i="4"/>
  <c r="L156" i="3"/>
  <c r="E192" i="4"/>
  <c r="E198" i="4" s="1"/>
  <c r="E205" i="4"/>
  <c r="I113" i="4"/>
  <c r="E61" i="4"/>
  <c r="I198" i="4"/>
  <c r="E213" i="4"/>
  <c r="E174" i="4"/>
  <c r="E10" i="4"/>
  <c r="E232" i="4" s="1"/>
  <c r="I179" i="4"/>
  <c r="I216" i="4"/>
  <c r="J266" i="3"/>
  <c r="L198" i="3"/>
  <c r="L179" i="3"/>
  <c r="I88" i="4"/>
  <c r="L113" i="3"/>
  <c r="L88" i="3"/>
  <c r="I24" i="4"/>
  <c r="J217" i="3"/>
  <c r="D262" i="2"/>
  <c r="K241" i="2"/>
  <c r="E11" i="1"/>
  <c r="K249" i="2"/>
  <c r="F249" i="2"/>
  <c r="G249" i="2"/>
  <c r="H249" i="2"/>
  <c r="I249" i="2"/>
  <c r="E249" i="2"/>
  <c r="E245" i="4" l="1"/>
  <c r="I266" i="4"/>
  <c r="E261" i="4"/>
  <c r="E233" i="4"/>
  <c r="E235" i="4"/>
  <c r="E88" i="4"/>
  <c r="E216" i="4"/>
  <c r="E179" i="4"/>
  <c r="E24" i="4"/>
  <c r="L217" i="3"/>
  <c r="I217" i="4"/>
  <c r="K120" i="2"/>
  <c r="J5" i="2"/>
  <c r="J6" i="2"/>
  <c r="J7" i="2"/>
  <c r="J225" i="2" s="1"/>
  <c r="J8" i="2"/>
  <c r="J226" i="2" s="1"/>
  <c r="J9" i="2"/>
  <c r="J10" i="2"/>
  <c r="J11" i="2"/>
  <c r="L11" i="2" s="1"/>
  <c r="J12" i="2"/>
  <c r="L12" i="2" s="1"/>
  <c r="J13" i="2"/>
  <c r="J14" i="2"/>
  <c r="L14" i="2" s="1"/>
  <c r="J15" i="2"/>
  <c r="L15" i="2" s="1"/>
  <c r="J16" i="2"/>
  <c r="L16" i="2" s="1"/>
  <c r="J17" i="2"/>
  <c r="J18" i="2"/>
  <c r="L18" i="2" s="1"/>
  <c r="J19" i="2"/>
  <c r="J20" i="2"/>
  <c r="L20" i="2" s="1"/>
  <c r="J21" i="2"/>
  <c r="J22" i="2"/>
  <c r="L22" i="2" s="1"/>
  <c r="J23" i="2"/>
  <c r="J25" i="2"/>
  <c r="J26" i="2"/>
  <c r="J27" i="2"/>
  <c r="L27" i="2" s="1"/>
  <c r="J28" i="2"/>
  <c r="L28" i="2" s="1"/>
  <c r="J29" i="2"/>
  <c r="L29" i="2" s="1"/>
  <c r="J30" i="2"/>
  <c r="L30" i="2" s="1"/>
  <c r="J31" i="2"/>
  <c r="L31" i="2" s="1"/>
  <c r="J33" i="2"/>
  <c r="L33" i="2" s="1"/>
  <c r="J34" i="2"/>
  <c r="L34" i="2" s="1"/>
  <c r="J35" i="2"/>
  <c r="J36" i="2"/>
  <c r="L36" i="2" s="1"/>
  <c r="J37" i="2"/>
  <c r="L37" i="2" s="1"/>
  <c r="J38" i="2"/>
  <c r="L38" i="2" s="1"/>
  <c r="J39" i="2"/>
  <c r="J40" i="2"/>
  <c r="L40" i="2" s="1"/>
  <c r="J41" i="2"/>
  <c r="L41" i="2" s="1"/>
  <c r="J42" i="2"/>
  <c r="L42" i="2" s="1"/>
  <c r="J43" i="2"/>
  <c r="J44" i="2"/>
  <c r="L44" i="2" s="1"/>
  <c r="J45" i="2"/>
  <c r="L45" i="2" s="1"/>
  <c r="J46" i="2"/>
  <c r="L46" i="2" s="1"/>
  <c r="J47" i="2"/>
  <c r="J49" i="2"/>
  <c r="L49" i="2" s="1"/>
  <c r="J50" i="2"/>
  <c r="J52" i="2"/>
  <c r="J53" i="2"/>
  <c r="L53" i="2" s="1"/>
  <c r="J54" i="2"/>
  <c r="J235" i="2" s="1"/>
  <c r="J55" i="2"/>
  <c r="L55" i="2" s="1"/>
  <c r="J56" i="2"/>
  <c r="L56" i="2" s="1"/>
  <c r="J57" i="2"/>
  <c r="L57" i="2" s="1"/>
  <c r="J58" i="2"/>
  <c r="L58" i="2" s="1"/>
  <c r="J59" i="2"/>
  <c r="L59" i="2" s="1"/>
  <c r="J60" i="2"/>
  <c r="L60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68" i="2"/>
  <c r="L68" i="2" s="1"/>
  <c r="J69" i="2"/>
  <c r="L69" i="2" s="1"/>
  <c r="J70" i="2"/>
  <c r="L70" i="2" s="1"/>
  <c r="J71" i="2"/>
  <c r="L71" i="2" s="1"/>
  <c r="J72" i="2"/>
  <c r="L72" i="2" s="1"/>
  <c r="J73" i="2"/>
  <c r="L73" i="2" s="1"/>
  <c r="J74" i="2"/>
  <c r="L74" i="2" s="1"/>
  <c r="J75" i="2"/>
  <c r="J77" i="2"/>
  <c r="J78" i="2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9" i="2"/>
  <c r="J90" i="2"/>
  <c r="L90" i="2" s="1"/>
  <c r="J91" i="2"/>
  <c r="L91" i="2" s="1"/>
  <c r="J92" i="2"/>
  <c r="L92" i="2" s="1"/>
  <c r="J93" i="2"/>
  <c r="J94" i="2"/>
  <c r="L94" i="2" s="1"/>
  <c r="J95" i="2"/>
  <c r="L95" i="2" s="1"/>
  <c r="J97" i="2"/>
  <c r="L97" i="2" s="1"/>
  <c r="J98" i="2"/>
  <c r="L98" i="2" s="1"/>
  <c r="J99" i="2"/>
  <c r="L99" i="2" s="1"/>
  <c r="J100" i="2"/>
  <c r="L100" i="2" s="1"/>
  <c r="J101" i="2"/>
  <c r="L101" i="2" s="1"/>
  <c r="J102" i="2"/>
  <c r="L102" i="2" s="1"/>
  <c r="J103" i="2"/>
  <c r="J104" i="2"/>
  <c r="L104" i="2" s="1"/>
  <c r="J105" i="2"/>
  <c r="L105" i="2" s="1"/>
  <c r="J106" i="2"/>
  <c r="L106" i="2" s="1"/>
  <c r="J107" i="2"/>
  <c r="L107" i="2" s="1"/>
  <c r="J109" i="2"/>
  <c r="L109" i="2" s="1"/>
  <c r="J110" i="2"/>
  <c r="L110" i="2" s="1"/>
  <c r="J111" i="2"/>
  <c r="J112" i="2"/>
  <c r="L112" i="2" s="1"/>
  <c r="J114" i="2"/>
  <c r="L114" i="2" s="1"/>
  <c r="J115" i="2"/>
  <c r="J116" i="2"/>
  <c r="L116" i="2" s="1"/>
  <c r="J117" i="2"/>
  <c r="L117" i="2" s="1"/>
  <c r="J118" i="2"/>
  <c r="J119" i="2"/>
  <c r="L119" i="2" s="1"/>
  <c r="J121" i="2"/>
  <c r="J122" i="2"/>
  <c r="L122" i="2" s="1"/>
  <c r="J123" i="2"/>
  <c r="L123" i="2" s="1"/>
  <c r="J124" i="2"/>
  <c r="L124" i="2" s="1"/>
  <c r="J125" i="2"/>
  <c r="J126" i="2"/>
  <c r="L126" i="2" s="1"/>
  <c r="J127" i="2"/>
  <c r="L127" i="2" s="1"/>
  <c r="J128" i="2"/>
  <c r="L128" i="2" s="1"/>
  <c r="J129" i="2"/>
  <c r="J131" i="2"/>
  <c r="L131" i="2" s="1"/>
  <c r="J132" i="2"/>
  <c r="L132" i="2" s="1"/>
  <c r="J133" i="2"/>
  <c r="L133" i="2" s="1"/>
  <c r="J134" i="2"/>
  <c r="L134" i="2" s="1"/>
  <c r="J136" i="2"/>
  <c r="J137" i="2"/>
  <c r="L137" i="2" s="1"/>
  <c r="J138" i="2"/>
  <c r="L138" i="2" s="1"/>
  <c r="J139" i="2"/>
  <c r="J140" i="2"/>
  <c r="L140" i="2" s="1"/>
  <c r="J141" i="2"/>
  <c r="L141" i="2" s="1"/>
  <c r="J142" i="2"/>
  <c r="L142" i="2" s="1"/>
  <c r="J144" i="2"/>
  <c r="L144" i="2" s="1"/>
  <c r="J145" i="2"/>
  <c r="J146" i="2"/>
  <c r="J147" i="2"/>
  <c r="L147" i="2" s="1"/>
  <c r="J148" i="2"/>
  <c r="J149" i="2"/>
  <c r="L149" i="2" s="1"/>
  <c r="J150" i="2"/>
  <c r="L150" i="2" s="1"/>
  <c r="J151" i="2"/>
  <c r="L151" i="2" s="1"/>
  <c r="J152" i="2"/>
  <c r="L152" i="2" s="1"/>
  <c r="J154" i="2"/>
  <c r="L154" i="2" s="1"/>
  <c r="J155" i="2"/>
  <c r="L155" i="2" s="1"/>
  <c r="J157" i="2"/>
  <c r="J158" i="2"/>
  <c r="J159" i="2"/>
  <c r="L159" i="2" s="1"/>
  <c r="J160" i="2"/>
  <c r="L160" i="2" s="1"/>
  <c r="J161" i="2"/>
  <c r="L161" i="2" s="1"/>
  <c r="J162" i="2"/>
  <c r="J164" i="2"/>
  <c r="L164" i="2" s="1"/>
  <c r="J165" i="2"/>
  <c r="L165" i="2" s="1"/>
  <c r="J166" i="2"/>
  <c r="J167" i="2"/>
  <c r="J168" i="2"/>
  <c r="L168" i="2" s="1"/>
  <c r="J169" i="2"/>
  <c r="L169" i="2" s="1"/>
  <c r="J170" i="2"/>
  <c r="L170" i="2" s="1"/>
  <c r="J171" i="2"/>
  <c r="J172" i="2"/>
  <c r="L172" i="2" s="1"/>
  <c r="J173" i="2"/>
  <c r="L173" i="2" s="1"/>
  <c r="J175" i="2"/>
  <c r="L175" i="2" s="1"/>
  <c r="J176" i="2"/>
  <c r="L176" i="2" s="1"/>
  <c r="J177" i="2"/>
  <c r="L177" i="2" s="1"/>
  <c r="J178" i="2"/>
  <c r="L178" i="2" s="1"/>
  <c r="J180" i="2"/>
  <c r="J182" i="2"/>
  <c r="J183" i="2"/>
  <c r="J184" i="2"/>
  <c r="J249" i="2" s="1"/>
  <c r="J185" i="2"/>
  <c r="J186" i="2"/>
  <c r="L186" i="2" s="1"/>
  <c r="J187" i="2"/>
  <c r="L187" i="2" s="1"/>
  <c r="J188" i="2"/>
  <c r="L188" i="2" s="1"/>
  <c r="J189" i="2"/>
  <c r="L189" i="2" s="1"/>
  <c r="J190" i="2"/>
  <c r="L190" i="2" s="1"/>
  <c r="J192" i="2"/>
  <c r="J193" i="2"/>
  <c r="L193" i="2" s="1"/>
  <c r="J194" i="2"/>
  <c r="L194" i="2" s="1"/>
  <c r="J196" i="2"/>
  <c r="J198" i="2"/>
  <c r="J199" i="2"/>
  <c r="L199" i="2" s="1"/>
  <c r="J200" i="2"/>
  <c r="J201" i="2"/>
  <c r="J202" i="2"/>
  <c r="J203" i="2"/>
  <c r="L203" i="2" s="1"/>
  <c r="J205" i="2"/>
  <c r="L205" i="2" s="1"/>
  <c r="J206" i="2"/>
  <c r="J207" i="2"/>
  <c r="L207" i="2" s="1"/>
  <c r="J208" i="2"/>
  <c r="L208" i="2" s="1"/>
  <c r="J209" i="2"/>
  <c r="J211" i="2"/>
  <c r="J212" i="2"/>
  <c r="L212" i="2" s="1"/>
  <c r="E261" i="2"/>
  <c r="K260" i="2"/>
  <c r="I260" i="2"/>
  <c r="H260" i="2"/>
  <c r="G260" i="2"/>
  <c r="F260" i="2"/>
  <c r="E260" i="2"/>
  <c r="K259" i="2"/>
  <c r="I259" i="2"/>
  <c r="H259" i="2"/>
  <c r="G259" i="2"/>
  <c r="F259" i="2"/>
  <c r="E259" i="2"/>
  <c r="K257" i="2"/>
  <c r="I257" i="2"/>
  <c r="H257" i="2"/>
  <c r="G257" i="2"/>
  <c r="E257" i="2"/>
  <c r="K256" i="2"/>
  <c r="I256" i="2"/>
  <c r="H256" i="2"/>
  <c r="G256" i="2"/>
  <c r="F256" i="2"/>
  <c r="E256" i="2"/>
  <c r="K255" i="2"/>
  <c r="I255" i="2"/>
  <c r="H255" i="2"/>
  <c r="G255" i="2"/>
  <c r="F255" i="2"/>
  <c r="E255" i="2"/>
  <c r="K254" i="2"/>
  <c r="I254" i="2"/>
  <c r="H254" i="2"/>
  <c r="G254" i="2"/>
  <c r="F254" i="2"/>
  <c r="E254" i="2"/>
  <c r="K253" i="2"/>
  <c r="I253" i="2"/>
  <c r="H253" i="2"/>
  <c r="G253" i="2"/>
  <c r="F253" i="2"/>
  <c r="K252" i="2"/>
  <c r="I252" i="2"/>
  <c r="H252" i="2"/>
  <c r="G252" i="2"/>
  <c r="F252" i="2"/>
  <c r="E252" i="2"/>
  <c r="K251" i="2"/>
  <c r="I251" i="2"/>
  <c r="H251" i="2"/>
  <c r="G251" i="2"/>
  <c r="F251" i="2"/>
  <c r="E251" i="2"/>
  <c r="K250" i="2"/>
  <c r="I250" i="2"/>
  <c r="H250" i="2"/>
  <c r="G250" i="2"/>
  <c r="F250" i="2"/>
  <c r="E250" i="2"/>
  <c r="K248" i="2"/>
  <c r="I248" i="2"/>
  <c r="H248" i="2"/>
  <c r="G248" i="2"/>
  <c r="F248" i="2"/>
  <c r="E248" i="2"/>
  <c r="K247" i="2"/>
  <c r="I247" i="2"/>
  <c r="H247" i="2"/>
  <c r="G247" i="2"/>
  <c r="F247" i="2"/>
  <c r="E247" i="2"/>
  <c r="K246" i="2"/>
  <c r="I246" i="2"/>
  <c r="H246" i="2"/>
  <c r="G246" i="2"/>
  <c r="F246" i="2"/>
  <c r="E246" i="2"/>
  <c r="K245" i="2"/>
  <c r="I245" i="2"/>
  <c r="H245" i="2"/>
  <c r="G245" i="2"/>
  <c r="F245" i="2"/>
  <c r="E245" i="2"/>
  <c r="K244" i="2"/>
  <c r="I244" i="2"/>
  <c r="H244" i="2"/>
  <c r="G244" i="2"/>
  <c r="F244" i="2"/>
  <c r="E244" i="2"/>
  <c r="K243" i="2"/>
  <c r="I243" i="2"/>
  <c r="H243" i="2"/>
  <c r="G243" i="2"/>
  <c r="F243" i="2"/>
  <c r="E243" i="2"/>
  <c r="I241" i="2"/>
  <c r="H241" i="2"/>
  <c r="G241" i="2"/>
  <c r="F241" i="2"/>
  <c r="E241" i="2"/>
  <c r="K240" i="2"/>
  <c r="I240" i="2"/>
  <c r="H240" i="2"/>
  <c r="G240" i="2"/>
  <c r="F240" i="2"/>
  <c r="E240" i="2"/>
  <c r="K239" i="2"/>
  <c r="I239" i="2"/>
  <c r="H239" i="2"/>
  <c r="G239" i="2"/>
  <c r="F239" i="2"/>
  <c r="E239" i="2"/>
  <c r="K238" i="2"/>
  <c r="I238" i="2"/>
  <c r="H238" i="2"/>
  <c r="G238" i="2"/>
  <c r="F238" i="2"/>
  <c r="E238" i="2"/>
  <c r="K237" i="2"/>
  <c r="I237" i="2"/>
  <c r="H237" i="2"/>
  <c r="G237" i="2"/>
  <c r="F237" i="2"/>
  <c r="E237" i="2"/>
  <c r="K236" i="2"/>
  <c r="I236" i="2"/>
  <c r="H236" i="2"/>
  <c r="G236" i="2"/>
  <c r="F236" i="2"/>
  <c r="E236" i="2"/>
  <c r="K235" i="2"/>
  <c r="I235" i="2"/>
  <c r="H235" i="2"/>
  <c r="G235" i="2"/>
  <c r="F235" i="2"/>
  <c r="E235" i="2"/>
  <c r="K234" i="2"/>
  <c r="J234" i="2"/>
  <c r="I234" i="2"/>
  <c r="H234" i="2"/>
  <c r="G234" i="2"/>
  <c r="F234" i="2"/>
  <c r="E234" i="2"/>
  <c r="K233" i="2"/>
  <c r="I233" i="2"/>
  <c r="H233" i="2"/>
  <c r="G233" i="2"/>
  <c r="E233" i="2"/>
  <c r="K231" i="2"/>
  <c r="I231" i="2"/>
  <c r="H231" i="2"/>
  <c r="G231" i="2"/>
  <c r="F231" i="2"/>
  <c r="E231" i="2"/>
  <c r="K230" i="2"/>
  <c r="I230" i="2"/>
  <c r="H230" i="2"/>
  <c r="G230" i="2"/>
  <c r="E230" i="2"/>
  <c r="K229" i="2"/>
  <c r="I229" i="2"/>
  <c r="H229" i="2"/>
  <c r="G229" i="2"/>
  <c r="F229" i="2"/>
  <c r="E229" i="2"/>
  <c r="K228" i="2"/>
  <c r="I228" i="2"/>
  <c r="H228" i="2"/>
  <c r="G228" i="2"/>
  <c r="E228" i="2"/>
  <c r="K227" i="2"/>
  <c r="I227" i="2"/>
  <c r="H227" i="2"/>
  <c r="G227" i="2"/>
  <c r="F227" i="2"/>
  <c r="E227" i="2"/>
  <c r="K226" i="2"/>
  <c r="I226" i="2"/>
  <c r="H226" i="2"/>
  <c r="G226" i="2"/>
  <c r="F226" i="2"/>
  <c r="E226" i="2"/>
  <c r="K225" i="2"/>
  <c r="I225" i="2"/>
  <c r="H225" i="2"/>
  <c r="G225" i="2"/>
  <c r="F225" i="2"/>
  <c r="E225" i="2"/>
  <c r="K224" i="2"/>
  <c r="I224" i="2"/>
  <c r="H224" i="2"/>
  <c r="G224" i="2"/>
  <c r="F224" i="2"/>
  <c r="E224" i="2"/>
  <c r="K223" i="2"/>
  <c r="I223" i="2"/>
  <c r="H223" i="2"/>
  <c r="G223" i="2"/>
  <c r="F223" i="2"/>
  <c r="E223" i="2"/>
  <c r="L211" i="2"/>
  <c r="E258" i="2"/>
  <c r="E242" i="2"/>
  <c r="L201" i="2"/>
  <c r="L196" i="2"/>
  <c r="L182" i="2"/>
  <c r="L171" i="2"/>
  <c r="L167" i="2"/>
  <c r="L162" i="2"/>
  <c r="L139" i="2"/>
  <c r="K130" i="2"/>
  <c r="L129" i="2"/>
  <c r="L125" i="2"/>
  <c r="L121" i="2"/>
  <c r="I120" i="2"/>
  <c r="I135" i="2" s="1"/>
  <c r="H120" i="2"/>
  <c r="H135" i="2" s="1"/>
  <c r="G120" i="2"/>
  <c r="G135" i="2" s="1"/>
  <c r="F120" i="2"/>
  <c r="F135" i="2" s="1"/>
  <c r="L111" i="2"/>
  <c r="K108" i="2"/>
  <c r="I108" i="2"/>
  <c r="H108" i="2"/>
  <c r="G108" i="2"/>
  <c r="F108" i="2"/>
  <c r="L103" i="2"/>
  <c r="K96" i="2"/>
  <c r="I96" i="2"/>
  <c r="H96" i="2"/>
  <c r="G96" i="2"/>
  <c r="F96" i="2"/>
  <c r="L93" i="2"/>
  <c r="L89" i="2"/>
  <c r="K79" i="2"/>
  <c r="I79" i="2"/>
  <c r="H79" i="2"/>
  <c r="G79" i="2"/>
  <c r="F79" i="2"/>
  <c r="L77" i="2"/>
  <c r="K76" i="2"/>
  <c r="I76" i="2"/>
  <c r="H76" i="2"/>
  <c r="G76" i="2"/>
  <c r="F76" i="2"/>
  <c r="K61" i="2"/>
  <c r="I61" i="2"/>
  <c r="H61" i="2"/>
  <c r="G61" i="2"/>
  <c r="F61" i="2"/>
  <c r="K51" i="2"/>
  <c r="I51" i="2"/>
  <c r="H51" i="2"/>
  <c r="G51" i="2"/>
  <c r="F51" i="2"/>
  <c r="K48" i="2"/>
  <c r="I48" i="2"/>
  <c r="H48" i="2"/>
  <c r="G48" i="2"/>
  <c r="F48" i="2"/>
  <c r="L47" i="2"/>
  <c r="L43" i="2"/>
  <c r="J251" i="2"/>
  <c r="L39" i="2"/>
  <c r="L35" i="2"/>
  <c r="K32" i="2"/>
  <c r="I32" i="2"/>
  <c r="H32" i="2"/>
  <c r="G32" i="2"/>
  <c r="L26" i="2"/>
  <c r="L21" i="2"/>
  <c r="L19" i="2"/>
  <c r="L17" i="2"/>
  <c r="L9" i="2"/>
  <c r="L7" i="2"/>
  <c r="L5" i="2"/>
  <c r="J79" i="2" l="1"/>
  <c r="J228" i="2"/>
  <c r="J76" i="2"/>
  <c r="J96" i="2"/>
  <c r="J113" i="2" s="1"/>
  <c r="J108" i="2"/>
  <c r="E266" i="4"/>
  <c r="L198" i="2"/>
  <c r="J204" i="2"/>
  <c r="J195" i="2"/>
  <c r="L183" i="2"/>
  <c r="J191" i="2"/>
  <c r="L180" i="2"/>
  <c r="J181" i="2"/>
  <c r="L157" i="2"/>
  <c r="J163" i="2"/>
  <c r="J244" i="2"/>
  <c r="J153" i="2"/>
  <c r="L136" i="2"/>
  <c r="L143" i="2" s="1"/>
  <c r="J143" i="2"/>
  <c r="J231" i="2"/>
  <c r="J210" i="2"/>
  <c r="J174" i="2"/>
  <c r="J24" i="2"/>
  <c r="E217" i="4"/>
  <c r="J232" i="2"/>
  <c r="I261" i="2"/>
  <c r="L8" i="2"/>
  <c r="H88" i="2"/>
  <c r="L75" i="2"/>
  <c r="L76" i="2" s="1"/>
  <c r="G261" i="2"/>
  <c r="G113" i="2"/>
  <c r="I113" i="2"/>
  <c r="J259" i="2"/>
  <c r="H242" i="2"/>
  <c r="G258" i="2"/>
  <c r="I258" i="2"/>
  <c r="J120" i="2"/>
  <c r="J32" i="2"/>
  <c r="G88" i="2"/>
  <c r="G214" i="2" s="1"/>
  <c r="I88" i="2"/>
  <c r="I214" i="2" s="1"/>
  <c r="L54" i="2"/>
  <c r="F113" i="2"/>
  <c r="H113" i="2"/>
  <c r="L115" i="2"/>
  <c r="K135" i="2"/>
  <c r="L145" i="2"/>
  <c r="L185" i="2"/>
  <c r="H258" i="2"/>
  <c r="G242" i="2"/>
  <c r="I242" i="2"/>
  <c r="J252" i="2"/>
  <c r="J260" i="2"/>
  <c r="J247" i="2"/>
  <c r="J51" i="2"/>
  <c r="J48" i="2"/>
  <c r="K261" i="2"/>
  <c r="K113" i="2"/>
  <c r="K242" i="2"/>
  <c r="K88" i="2"/>
  <c r="K258" i="2"/>
  <c r="J253" i="2"/>
  <c r="J130" i="2"/>
  <c r="J227" i="2"/>
  <c r="J245" i="2"/>
  <c r="J223" i="2"/>
  <c r="J229" i="2"/>
  <c r="L10" i="2"/>
  <c r="L50" i="2"/>
  <c r="L51" i="2" s="1"/>
  <c r="L78" i="2"/>
  <c r="L79" i="2" s="1"/>
  <c r="L192" i="2"/>
  <c r="L195" i="2" s="1"/>
  <c r="L206" i="2"/>
  <c r="J236" i="2"/>
  <c r="J248" i="2"/>
  <c r="J241" i="2"/>
  <c r="J250" i="2"/>
  <c r="J246" i="2"/>
  <c r="J240" i="2"/>
  <c r="J61" i="2"/>
  <c r="L108" i="2"/>
  <c r="L48" i="2"/>
  <c r="L6" i="2"/>
  <c r="J255" i="2"/>
  <c r="L52" i="2"/>
  <c r="L96" i="2"/>
  <c r="L118" i="2"/>
  <c r="L146" i="2"/>
  <c r="L148" i="2"/>
  <c r="L158" i="2"/>
  <c r="L163" i="2" s="1"/>
  <c r="L166" i="2"/>
  <c r="L174" i="2" s="1"/>
  <c r="L184" i="2"/>
  <c r="J243" i="2"/>
  <c r="L130" i="2"/>
  <c r="L25" i="2"/>
  <c r="L32" i="2" s="1"/>
  <c r="J230" i="2"/>
  <c r="F32" i="2"/>
  <c r="F88" i="2" s="1"/>
  <c r="F261" i="2"/>
  <c r="H261" i="2"/>
  <c r="J237" i="2"/>
  <c r="L200" i="2"/>
  <c r="J239" i="2"/>
  <c r="L202" i="2"/>
  <c r="F257" i="2"/>
  <c r="J256" i="2"/>
  <c r="J224" i="2"/>
  <c r="F230" i="2"/>
  <c r="F228" i="2"/>
  <c r="L13" i="2"/>
  <c r="L23" i="2"/>
  <c r="J233" i="2"/>
  <c r="F233" i="2"/>
  <c r="F258" i="2"/>
  <c r="J238" i="2"/>
  <c r="J254" i="2"/>
  <c r="E262" i="2"/>
  <c r="E209" i="1"/>
  <c r="E75" i="1"/>
  <c r="F214" i="2" l="1"/>
  <c r="J197" i="2"/>
  <c r="L181" i="2"/>
  <c r="K214" i="2"/>
  <c r="J156" i="2"/>
  <c r="H214" i="2"/>
  <c r="J213" i="2"/>
  <c r="J179" i="2"/>
  <c r="L61" i="2"/>
  <c r="L88" i="2" s="1"/>
  <c r="L191" i="2"/>
  <c r="J135" i="2"/>
  <c r="J261" i="2"/>
  <c r="I262" i="2"/>
  <c r="G262" i="2"/>
  <c r="H262" i="2"/>
  <c r="L120" i="2"/>
  <c r="L135" i="2" s="1"/>
  <c r="J88" i="2"/>
  <c r="L113" i="2"/>
  <c r="K262" i="2"/>
  <c r="L153" i="2"/>
  <c r="L156" i="2" s="1"/>
  <c r="J258" i="2"/>
  <c r="L24" i="2"/>
  <c r="L179" i="2"/>
  <c r="L204" i="2"/>
  <c r="J257" i="2"/>
  <c r="L209" i="2"/>
  <c r="L210" i="2" s="1"/>
  <c r="J242" i="2"/>
  <c r="F242" i="2"/>
  <c r="F262" i="2" s="1"/>
  <c r="E231" i="1"/>
  <c r="F231" i="1"/>
  <c r="G231" i="1"/>
  <c r="H231" i="1"/>
  <c r="J231" i="1"/>
  <c r="D231" i="1"/>
  <c r="F230" i="1"/>
  <c r="G230" i="1"/>
  <c r="H230" i="1"/>
  <c r="J230" i="1"/>
  <c r="D230" i="1"/>
  <c r="E223" i="1"/>
  <c r="F223" i="1"/>
  <c r="G223" i="1"/>
  <c r="H223" i="1"/>
  <c r="J223" i="1"/>
  <c r="E224" i="1"/>
  <c r="F224" i="1"/>
  <c r="G224" i="1"/>
  <c r="H224" i="1"/>
  <c r="J224" i="1"/>
  <c r="E225" i="1"/>
  <c r="F225" i="1"/>
  <c r="G225" i="1"/>
  <c r="H225" i="1"/>
  <c r="J225" i="1"/>
  <c r="E226" i="1"/>
  <c r="F226" i="1"/>
  <c r="G226" i="1"/>
  <c r="H226" i="1"/>
  <c r="J226" i="1"/>
  <c r="E227" i="1"/>
  <c r="F227" i="1"/>
  <c r="G227" i="1"/>
  <c r="H227" i="1"/>
  <c r="J227" i="1"/>
  <c r="F228" i="1"/>
  <c r="G228" i="1"/>
  <c r="H228" i="1"/>
  <c r="J228" i="1"/>
  <c r="E229" i="1"/>
  <c r="F229" i="1"/>
  <c r="G229" i="1"/>
  <c r="H229" i="1"/>
  <c r="J229" i="1"/>
  <c r="D228" i="1"/>
  <c r="D226" i="1"/>
  <c r="D224" i="1"/>
  <c r="L197" i="2" l="1"/>
  <c r="J214" i="2"/>
  <c r="L213" i="2"/>
  <c r="L214" i="2" s="1"/>
  <c r="J262" i="2"/>
  <c r="E259" i="1"/>
  <c r="F259" i="1"/>
  <c r="G259" i="1"/>
  <c r="H259" i="1"/>
  <c r="J259" i="1"/>
  <c r="E258" i="1"/>
  <c r="F258" i="1"/>
  <c r="G258" i="1"/>
  <c r="H258" i="1"/>
  <c r="J258" i="1"/>
  <c r="D259" i="1" l="1"/>
  <c r="D258" i="1"/>
  <c r="E256" i="1"/>
  <c r="F256" i="1"/>
  <c r="G256" i="1"/>
  <c r="H256" i="1"/>
  <c r="J256" i="1"/>
  <c r="D256" i="1"/>
  <c r="E255" i="1"/>
  <c r="F255" i="1"/>
  <c r="G255" i="1"/>
  <c r="H255" i="1"/>
  <c r="J255" i="1"/>
  <c r="D255" i="1"/>
  <c r="E254" i="1"/>
  <c r="F254" i="1"/>
  <c r="G254" i="1"/>
  <c r="H254" i="1"/>
  <c r="J254" i="1"/>
  <c r="D254" i="1"/>
  <c r="F253" i="1"/>
  <c r="G253" i="1"/>
  <c r="H253" i="1"/>
  <c r="J253" i="1"/>
  <c r="D253" i="1"/>
  <c r="E252" i="1"/>
  <c r="F252" i="1"/>
  <c r="G252" i="1"/>
  <c r="H252" i="1"/>
  <c r="J252" i="1"/>
  <c r="D252" i="1"/>
  <c r="E251" i="1"/>
  <c r="F251" i="1"/>
  <c r="G251" i="1"/>
  <c r="H251" i="1"/>
  <c r="J251" i="1"/>
  <c r="D251" i="1"/>
  <c r="E250" i="1"/>
  <c r="F250" i="1"/>
  <c r="G250" i="1"/>
  <c r="H250" i="1"/>
  <c r="J250" i="1"/>
  <c r="D250" i="1"/>
  <c r="E249" i="1"/>
  <c r="F249" i="1"/>
  <c r="G249" i="1"/>
  <c r="H249" i="1"/>
  <c r="J249" i="1"/>
  <c r="D249" i="1"/>
  <c r="E248" i="1"/>
  <c r="F248" i="1"/>
  <c r="G248" i="1"/>
  <c r="H248" i="1"/>
  <c r="J248" i="1"/>
  <c r="E247" i="1"/>
  <c r="F247" i="1"/>
  <c r="G247" i="1"/>
  <c r="H247" i="1"/>
  <c r="J247" i="1"/>
  <c r="D248" i="1"/>
  <c r="D247" i="1"/>
  <c r="E245" i="1"/>
  <c r="F245" i="1"/>
  <c r="G245" i="1"/>
  <c r="H245" i="1"/>
  <c r="J245" i="1"/>
  <c r="E246" i="1"/>
  <c r="F246" i="1"/>
  <c r="G246" i="1"/>
  <c r="H246" i="1"/>
  <c r="J246" i="1"/>
  <c r="D246" i="1"/>
  <c r="D245" i="1"/>
  <c r="E244" i="1"/>
  <c r="F244" i="1"/>
  <c r="G244" i="1"/>
  <c r="H244" i="1"/>
  <c r="J244" i="1"/>
  <c r="D244" i="1"/>
  <c r="E243" i="1"/>
  <c r="F243" i="1"/>
  <c r="G243" i="1"/>
  <c r="H243" i="1"/>
  <c r="J243" i="1"/>
  <c r="D243" i="1"/>
  <c r="E242" i="1"/>
  <c r="F242" i="1"/>
  <c r="G242" i="1"/>
  <c r="H242" i="1"/>
  <c r="J242" i="1"/>
  <c r="E240" i="1"/>
  <c r="F240" i="1"/>
  <c r="G240" i="1"/>
  <c r="H240" i="1"/>
  <c r="F239" i="1"/>
  <c r="G239" i="1"/>
  <c r="H239" i="1"/>
  <c r="E238" i="1"/>
  <c r="F238" i="1"/>
  <c r="G238" i="1"/>
  <c r="H238" i="1"/>
  <c r="E237" i="1"/>
  <c r="F237" i="1"/>
  <c r="G237" i="1"/>
  <c r="H237" i="1"/>
  <c r="E236" i="1"/>
  <c r="F236" i="1"/>
  <c r="G236" i="1"/>
  <c r="H236" i="1"/>
  <c r="E234" i="1"/>
  <c r="F234" i="1"/>
  <c r="G234" i="1"/>
  <c r="H234" i="1"/>
  <c r="E235" i="1"/>
  <c r="F235" i="1"/>
  <c r="G235" i="1"/>
  <c r="H235" i="1"/>
  <c r="E233" i="1"/>
  <c r="F233" i="1"/>
  <c r="G233" i="1"/>
  <c r="H233" i="1"/>
  <c r="F232" i="1"/>
  <c r="G232" i="1"/>
  <c r="H232" i="1"/>
  <c r="J239" i="1"/>
  <c r="D239" i="1"/>
  <c r="J238" i="1"/>
  <c r="D238" i="1"/>
  <c r="J237" i="1"/>
  <c r="J236" i="1"/>
  <c r="J235" i="1"/>
  <c r="J234" i="1"/>
  <c r="J233" i="1"/>
  <c r="J232" i="1"/>
  <c r="D232" i="1"/>
  <c r="D181" i="1" l="1"/>
  <c r="E72" i="1"/>
  <c r="E203" i="1"/>
  <c r="E198" i="1"/>
  <c r="E207" i="1"/>
  <c r="E30" i="1"/>
  <c r="E25" i="1"/>
  <c r="I6" i="1"/>
  <c r="I7" i="1"/>
  <c r="I225" i="1" s="1"/>
  <c r="I8" i="1"/>
  <c r="I226" i="1" s="1"/>
  <c r="I9" i="1"/>
  <c r="I227" i="1" s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E253" i="1" l="1"/>
  <c r="I231" i="1"/>
  <c r="E230" i="1"/>
  <c r="E228" i="1"/>
  <c r="I228" i="1"/>
  <c r="I230" i="1"/>
  <c r="I229" i="1"/>
  <c r="I224" i="1"/>
  <c r="E232" i="1"/>
  <c r="E239" i="1"/>
  <c r="I127" i="1"/>
  <c r="K127" i="1" s="1"/>
  <c r="I180" i="1"/>
  <c r="K180" i="1" s="1"/>
  <c r="I209" i="1"/>
  <c r="I208" i="1"/>
  <c r="I207" i="1"/>
  <c r="I206" i="1"/>
  <c r="E210" i="1"/>
  <c r="F210" i="1"/>
  <c r="G210" i="1"/>
  <c r="H210" i="1"/>
  <c r="J210" i="1"/>
  <c r="D210" i="1"/>
  <c r="J181" i="1"/>
  <c r="K13" i="1"/>
  <c r="K11" i="1"/>
  <c r="D242" i="1"/>
  <c r="D240" i="1"/>
  <c r="D237" i="1"/>
  <c r="D236" i="1"/>
  <c r="D233" i="1"/>
  <c r="D235" i="1"/>
  <c r="D234" i="1"/>
  <c r="K209" i="1" l="1"/>
  <c r="K208" i="1"/>
  <c r="K207" i="1"/>
  <c r="I210" i="1"/>
  <c r="K206" i="1"/>
  <c r="D229" i="1"/>
  <c r="D227" i="1"/>
  <c r="D225" i="1"/>
  <c r="D223" i="1"/>
  <c r="K210" i="1" l="1"/>
  <c r="J240" i="1"/>
  <c r="I33" i="1"/>
  <c r="K33" i="1" s="1"/>
  <c r="I62" i="1"/>
  <c r="K62" i="1" s="1"/>
  <c r="I97" i="1"/>
  <c r="K97" i="1" s="1"/>
  <c r="I121" i="1"/>
  <c r="K121" i="1" s="1"/>
  <c r="I144" i="1"/>
  <c r="K144" i="1" s="1"/>
  <c r="I164" i="1"/>
  <c r="K164" i="1" s="1"/>
  <c r="I182" i="1"/>
  <c r="K182" i="1" s="1"/>
  <c r="I181" i="1"/>
  <c r="K181" i="1" s="1"/>
  <c r="I205" i="1"/>
  <c r="I212" i="1"/>
  <c r="K212" i="1" s="1"/>
  <c r="I211" i="1"/>
  <c r="K211" i="1" s="1"/>
  <c r="I203" i="1"/>
  <c r="I202" i="1"/>
  <c r="I201" i="1"/>
  <c r="I200" i="1"/>
  <c r="I199" i="1"/>
  <c r="I198" i="1"/>
  <c r="K198" i="1" s="1"/>
  <c r="I196" i="1"/>
  <c r="K196" i="1" s="1"/>
  <c r="I194" i="1"/>
  <c r="I193" i="1"/>
  <c r="I192" i="1"/>
  <c r="K192" i="1" s="1"/>
  <c r="I190" i="1"/>
  <c r="I189" i="1"/>
  <c r="I188" i="1"/>
  <c r="K188" i="1" s="1"/>
  <c r="I187" i="1"/>
  <c r="I186" i="1"/>
  <c r="I185" i="1"/>
  <c r="I184" i="1"/>
  <c r="K184" i="1" s="1"/>
  <c r="I183" i="1"/>
  <c r="I178" i="1"/>
  <c r="K178" i="1" s="1"/>
  <c r="I177" i="1"/>
  <c r="K177" i="1" s="1"/>
  <c r="I176" i="1"/>
  <c r="K176" i="1" s="1"/>
  <c r="I175" i="1"/>
  <c r="K175" i="1" s="1"/>
  <c r="I173" i="1"/>
  <c r="K173" i="1" s="1"/>
  <c r="I172" i="1"/>
  <c r="K172" i="1" s="1"/>
  <c r="I171" i="1"/>
  <c r="K171" i="1" s="1"/>
  <c r="I170" i="1"/>
  <c r="K170" i="1" s="1"/>
  <c r="I169" i="1"/>
  <c r="I168" i="1"/>
  <c r="I167" i="1"/>
  <c r="I166" i="1"/>
  <c r="K166" i="1" s="1"/>
  <c r="I165" i="1"/>
  <c r="I162" i="1"/>
  <c r="I161" i="1"/>
  <c r="K161" i="1" s="1"/>
  <c r="I160" i="1"/>
  <c r="K160" i="1" s="1"/>
  <c r="I159" i="1"/>
  <c r="K159" i="1" s="1"/>
  <c r="I158" i="1"/>
  <c r="K158" i="1" s="1"/>
  <c r="I157" i="1"/>
  <c r="K157" i="1" s="1"/>
  <c r="I155" i="1"/>
  <c r="K155" i="1" s="1"/>
  <c r="I154" i="1"/>
  <c r="K154" i="1" s="1"/>
  <c r="I152" i="1"/>
  <c r="K152" i="1" s="1"/>
  <c r="I151" i="1"/>
  <c r="K151" i="1" s="1"/>
  <c r="I150" i="1"/>
  <c r="K150" i="1" s="1"/>
  <c r="I149" i="1"/>
  <c r="K149" i="1" s="1"/>
  <c r="I148" i="1"/>
  <c r="K148" i="1" s="1"/>
  <c r="I147" i="1"/>
  <c r="K147" i="1" s="1"/>
  <c r="I146" i="1"/>
  <c r="K146" i="1" s="1"/>
  <c r="I145" i="1"/>
  <c r="K145" i="1" s="1"/>
  <c r="I142" i="1"/>
  <c r="K142" i="1" s="1"/>
  <c r="I141" i="1"/>
  <c r="K141" i="1" s="1"/>
  <c r="I140" i="1"/>
  <c r="K140" i="1" s="1"/>
  <c r="I139" i="1"/>
  <c r="K139" i="1" s="1"/>
  <c r="I138" i="1"/>
  <c r="K138" i="1" s="1"/>
  <c r="I137" i="1"/>
  <c r="K137" i="1" s="1"/>
  <c r="I136" i="1"/>
  <c r="K136" i="1" s="1"/>
  <c r="I134" i="1"/>
  <c r="K134" i="1" s="1"/>
  <c r="I133" i="1"/>
  <c r="K133" i="1" s="1"/>
  <c r="I132" i="1"/>
  <c r="K132" i="1" s="1"/>
  <c r="I131" i="1"/>
  <c r="K131" i="1" s="1"/>
  <c r="I129" i="1"/>
  <c r="K129" i="1" s="1"/>
  <c r="I128" i="1"/>
  <c r="K128" i="1" s="1"/>
  <c r="I126" i="1"/>
  <c r="K126" i="1" s="1"/>
  <c r="I125" i="1"/>
  <c r="K125" i="1" s="1"/>
  <c r="I124" i="1"/>
  <c r="K124" i="1" s="1"/>
  <c r="I123" i="1"/>
  <c r="K123" i="1" s="1"/>
  <c r="I122" i="1"/>
  <c r="K122" i="1" s="1"/>
  <c r="I119" i="1"/>
  <c r="K119" i="1" s="1"/>
  <c r="I118" i="1"/>
  <c r="K118" i="1" s="1"/>
  <c r="I117" i="1"/>
  <c r="K117" i="1" s="1"/>
  <c r="I116" i="1"/>
  <c r="K116" i="1" s="1"/>
  <c r="I115" i="1"/>
  <c r="K115" i="1" s="1"/>
  <c r="I114" i="1"/>
  <c r="K114" i="1" s="1"/>
  <c r="I112" i="1"/>
  <c r="K112" i="1" s="1"/>
  <c r="I111" i="1"/>
  <c r="K111" i="1" s="1"/>
  <c r="I110" i="1"/>
  <c r="K110" i="1" s="1"/>
  <c r="I109" i="1"/>
  <c r="K109" i="1" s="1"/>
  <c r="I107" i="1"/>
  <c r="K107" i="1" s="1"/>
  <c r="I106" i="1"/>
  <c r="K106" i="1" s="1"/>
  <c r="I105" i="1"/>
  <c r="K105" i="1" s="1"/>
  <c r="I104" i="1"/>
  <c r="K104" i="1" s="1"/>
  <c r="I103" i="1"/>
  <c r="K103" i="1" s="1"/>
  <c r="I102" i="1"/>
  <c r="I101" i="1"/>
  <c r="K101" i="1" s="1"/>
  <c r="I100" i="1"/>
  <c r="K100" i="1" s="1"/>
  <c r="I99" i="1"/>
  <c r="K99" i="1" s="1"/>
  <c r="I98" i="1"/>
  <c r="K98" i="1" s="1"/>
  <c r="I95" i="1"/>
  <c r="K95" i="1" s="1"/>
  <c r="I94" i="1"/>
  <c r="K94" i="1" s="1"/>
  <c r="I93" i="1"/>
  <c r="K93" i="1" s="1"/>
  <c r="I92" i="1"/>
  <c r="K92" i="1" s="1"/>
  <c r="I91" i="1"/>
  <c r="K91" i="1" s="1"/>
  <c r="I90" i="1"/>
  <c r="K90" i="1" s="1"/>
  <c r="I89" i="1"/>
  <c r="I87" i="1"/>
  <c r="K87" i="1" s="1"/>
  <c r="I86" i="1"/>
  <c r="K86" i="1" s="1"/>
  <c r="I85" i="1"/>
  <c r="K85" i="1" s="1"/>
  <c r="I84" i="1"/>
  <c r="K84" i="1" s="1"/>
  <c r="I83" i="1"/>
  <c r="K83" i="1" s="1"/>
  <c r="I82" i="1"/>
  <c r="K82" i="1" s="1"/>
  <c r="I81" i="1"/>
  <c r="K81" i="1" s="1"/>
  <c r="I80" i="1"/>
  <c r="K80" i="1" s="1"/>
  <c r="I78" i="1"/>
  <c r="K78" i="1" s="1"/>
  <c r="I77" i="1"/>
  <c r="K77" i="1" s="1"/>
  <c r="I75" i="1"/>
  <c r="K75" i="1" s="1"/>
  <c r="I74" i="1"/>
  <c r="K74" i="1" s="1"/>
  <c r="I73" i="1"/>
  <c r="K73" i="1" s="1"/>
  <c r="I72" i="1"/>
  <c r="K72" i="1" s="1"/>
  <c r="I71" i="1"/>
  <c r="K71" i="1" s="1"/>
  <c r="I70" i="1"/>
  <c r="K70" i="1" s="1"/>
  <c r="I69" i="1"/>
  <c r="K69" i="1" s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I53" i="1"/>
  <c r="I52" i="1"/>
  <c r="K52" i="1" s="1"/>
  <c r="I50" i="1"/>
  <c r="K50" i="1" s="1"/>
  <c r="I49" i="1"/>
  <c r="K49" i="1" s="1"/>
  <c r="I47" i="1"/>
  <c r="K47" i="1" s="1"/>
  <c r="I46" i="1"/>
  <c r="K46" i="1" s="1"/>
  <c r="I45" i="1"/>
  <c r="I44" i="1"/>
  <c r="K44" i="1" s="1"/>
  <c r="I43" i="1"/>
  <c r="K43" i="1" s="1"/>
  <c r="I42" i="1"/>
  <c r="K42" i="1" s="1"/>
  <c r="I41" i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K6" i="1"/>
  <c r="K7" i="1"/>
  <c r="K8" i="1"/>
  <c r="K9" i="1"/>
  <c r="K10" i="1"/>
  <c r="K12" i="1"/>
  <c r="K14" i="1"/>
  <c r="K15" i="1"/>
  <c r="K16" i="1"/>
  <c r="K17" i="1"/>
  <c r="K18" i="1"/>
  <c r="K19" i="1"/>
  <c r="K20" i="1"/>
  <c r="K21" i="1"/>
  <c r="K22" i="1"/>
  <c r="K23" i="1"/>
  <c r="I5" i="1"/>
  <c r="K5" i="1" l="1"/>
  <c r="K24" i="1" s="1"/>
  <c r="I223" i="1"/>
  <c r="K194" i="1"/>
  <c r="K195" i="1" s="1"/>
  <c r="I259" i="1"/>
  <c r="K193" i="1"/>
  <c r="I258" i="1"/>
  <c r="K190" i="1"/>
  <c r="I256" i="1"/>
  <c r="K189" i="1"/>
  <c r="I255" i="1"/>
  <c r="K45" i="1"/>
  <c r="I254" i="1"/>
  <c r="K187" i="1"/>
  <c r="I253" i="1"/>
  <c r="K186" i="1"/>
  <c r="I252" i="1"/>
  <c r="I251" i="1"/>
  <c r="K41" i="1"/>
  <c r="I250" i="1"/>
  <c r="K169" i="1"/>
  <c r="I249" i="1"/>
  <c r="I247" i="1"/>
  <c r="K185" i="1"/>
  <c r="I248" i="1"/>
  <c r="K102" i="1"/>
  <c r="K108" i="1" s="1"/>
  <c r="K167" i="1"/>
  <c r="I245" i="1"/>
  <c r="K168" i="1"/>
  <c r="I246" i="1"/>
  <c r="K183" i="1"/>
  <c r="I244" i="1"/>
  <c r="K165" i="1"/>
  <c r="K174" i="1" s="1"/>
  <c r="I243" i="1"/>
  <c r="K205" i="1"/>
  <c r="I242" i="1"/>
  <c r="K54" i="1"/>
  <c r="I234" i="1"/>
  <c r="K89" i="1"/>
  <c r="K96" i="1" s="1"/>
  <c r="I232" i="1"/>
  <c r="K162" i="1"/>
  <c r="K163" i="1" s="1"/>
  <c r="I240" i="1"/>
  <c r="K200" i="1"/>
  <c r="I236" i="1"/>
  <c r="K202" i="1"/>
  <c r="I238" i="1"/>
  <c r="K53" i="1"/>
  <c r="I233" i="1"/>
  <c r="K199" i="1"/>
  <c r="I235" i="1"/>
  <c r="K201" i="1"/>
  <c r="I237" i="1"/>
  <c r="K203" i="1"/>
  <c r="I239" i="1"/>
  <c r="E204" i="1"/>
  <c r="F204" i="1"/>
  <c r="G204" i="1"/>
  <c r="H204" i="1"/>
  <c r="I204" i="1"/>
  <c r="J204" i="1"/>
  <c r="E195" i="1"/>
  <c r="F195" i="1"/>
  <c r="G195" i="1"/>
  <c r="H195" i="1"/>
  <c r="I195" i="1"/>
  <c r="J195" i="1"/>
  <c r="E191" i="1"/>
  <c r="F191" i="1"/>
  <c r="G191" i="1"/>
  <c r="H191" i="1"/>
  <c r="I191" i="1"/>
  <c r="J191" i="1"/>
  <c r="E174" i="1"/>
  <c r="F174" i="1"/>
  <c r="G174" i="1"/>
  <c r="H174" i="1"/>
  <c r="I174" i="1"/>
  <c r="J174" i="1"/>
  <c r="E163" i="1"/>
  <c r="F163" i="1"/>
  <c r="G163" i="1"/>
  <c r="H163" i="1"/>
  <c r="I163" i="1"/>
  <c r="J163" i="1"/>
  <c r="E153" i="1"/>
  <c r="F153" i="1"/>
  <c r="G153" i="1"/>
  <c r="H153" i="1"/>
  <c r="I153" i="1"/>
  <c r="J153" i="1"/>
  <c r="K153" i="1"/>
  <c r="E143" i="1"/>
  <c r="F143" i="1"/>
  <c r="G143" i="1"/>
  <c r="H143" i="1"/>
  <c r="I143" i="1"/>
  <c r="J143" i="1"/>
  <c r="K143" i="1"/>
  <c r="E130" i="1"/>
  <c r="F130" i="1"/>
  <c r="G130" i="1"/>
  <c r="H130" i="1"/>
  <c r="I130" i="1"/>
  <c r="J130" i="1"/>
  <c r="K130" i="1"/>
  <c r="E120" i="1"/>
  <c r="F120" i="1"/>
  <c r="G120" i="1"/>
  <c r="H120" i="1"/>
  <c r="I120" i="1"/>
  <c r="J120" i="1"/>
  <c r="K120" i="1"/>
  <c r="E108" i="1"/>
  <c r="F108" i="1"/>
  <c r="G108" i="1"/>
  <c r="H108" i="1"/>
  <c r="I108" i="1"/>
  <c r="J108" i="1"/>
  <c r="E96" i="1"/>
  <c r="F96" i="1"/>
  <c r="G96" i="1"/>
  <c r="H96" i="1"/>
  <c r="I96" i="1"/>
  <c r="J96" i="1"/>
  <c r="E79" i="1"/>
  <c r="F79" i="1"/>
  <c r="G79" i="1"/>
  <c r="H79" i="1"/>
  <c r="I79" i="1"/>
  <c r="J79" i="1"/>
  <c r="K79" i="1"/>
  <c r="E76" i="1"/>
  <c r="F76" i="1"/>
  <c r="G76" i="1"/>
  <c r="H76" i="1"/>
  <c r="I76" i="1"/>
  <c r="J76" i="1"/>
  <c r="K76" i="1"/>
  <c r="E61" i="1"/>
  <c r="F61" i="1"/>
  <c r="G61" i="1"/>
  <c r="H61" i="1"/>
  <c r="I61" i="1"/>
  <c r="J61" i="1"/>
  <c r="E51" i="1"/>
  <c r="F51" i="1"/>
  <c r="G51" i="1"/>
  <c r="H51" i="1"/>
  <c r="I51" i="1"/>
  <c r="J51" i="1"/>
  <c r="K51" i="1"/>
  <c r="E48" i="1"/>
  <c r="F48" i="1"/>
  <c r="G48" i="1"/>
  <c r="H48" i="1"/>
  <c r="I48" i="1"/>
  <c r="J48" i="1"/>
  <c r="E32" i="1"/>
  <c r="F32" i="1"/>
  <c r="G32" i="1"/>
  <c r="H32" i="1"/>
  <c r="I32" i="1"/>
  <c r="J32" i="1"/>
  <c r="K32" i="1"/>
  <c r="E24" i="1"/>
  <c r="F24" i="1"/>
  <c r="G24" i="1"/>
  <c r="H24" i="1"/>
  <c r="I24" i="1"/>
  <c r="J24" i="1"/>
  <c r="K204" i="1" l="1"/>
  <c r="K213" i="1" s="1"/>
  <c r="K61" i="1"/>
  <c r="J260" i="1"/>
  <c r="H260" i="1"/>
  <c r="F260" i="1"/>
  <c r="I260" i="1"/>
  <c r="G260" i="1"/>
  <c r="E260" i="1"/>
  <c r="I257" i="1"/>
  <c r="G257" i="1"/>
  <c r="E257" i="1"/>
  <c r="J257" i="1"/>
  <c r="H257" i="1"/>
  <c r="F257" i="1"/>
  <c r="K48" i="1"/>
  <c r="K191" i="1"/>
  <c r="J213" i="1"/>
  <c r="J241" i="1"/>
  <c r="H241" i="1"/>
  <c r="F241" i="1"/>
  <c r="I213" i="1"/>
  <c r="I241" i="1"/>
  <c r="G241" i="1"/>
  <c r="E241" i="1"/>
  <c r="G213" i="1"/>
  <c r="J88" i="1"/>
  <c r="H213" i="1"/>
  <c r="F213" i="1"/>
  <c r="E213" i="1"/>
  <c r="G197" i="1"/>
  <c r="E197" i="1"/>
  <c r="H88" i="1"/>
  <c r="F88" i="1"/>
  <c r="G88" i="1"/>
  <c r="E88" i="1"/>
  <c r="J113" i="1"/>
  <c r="H113" i="1"/>
  <c r="F113" i="1"/>
  <c r="G113" i="1"/>
  <c r="E113" i="1"/>
  <c r="H135" i="1"/>
  <c r="F135" i="1"/>
  <c r="G135" i="1"/>
  <c r="E135" i="1"/>
  <c r="H156" i="1"/>
  <c r="F156" i="1"/>
  <c r="G156" i="1"/>
  <c r="E156" i="1"/>
  <c r="H179" i="1"/>
  <c r="F179" i="1"/>
  <c r="H197" i="1"/>
  <c r="F197" i="1"/>
  <c r="J156" i="1"/>
  <c r="G179" i="1"/>
  <c r="E179" i="1"/>
  <c r="K135" i="1"/>
  <c r="I135" i="1"/>
  <c r="K179" i="1"/>
  <c r="I179" i="1"/>
  <c r="K197" i="1"/>
  <c r="I197" i="1"/>
  <c r="J197" i="1"/>
  <c r="J179" i="1"/>
  <c r="K156" i="1"/>
  <c r="I156" i="1"/>
  <c r="J135" i="1"/>
  <c r="K113" i="1"/>
  <c r="I113" i="1"/>
  <c r="I88" i="1"/>
  <c r="D24" i="1"/>
  <c r="K88" i="1" l="1"/>
  <c r="H261" i="1"/>
  <c r="F261" i="1"/>
  <c r="J261" i="1"/>
  <c r="E261" i="1"/>
  <c r="I261" i="1"/>
  <c r="G261" i="1"/>
  <c r="J214" i="1"/>
  <c r="G214" i="1"/>
  <c r="H214" i="1"/>
  <c r="E214" i="1"/>
  <c r="F214" i="1"/>
  <c r="I214" i="1"/>
  <c r="K214" i="1"/>
  <c r="D79" i="1"/>
  <c r="D76" i="1"/>
  <c r="D48" i="1"/>
  <c r="D51" i="1"/>
  <c r="D191" i="1"/>
  <c r="D195" i="1"/>
  <c r="D174" i="1"/>
  <c r="D153" i="1"/>
  <c r="D130" i="1"/>
  <c r="D108" i="1"/>
  <c r="D204" i="1"/>
  <c r="D213" i="1" s="1"/>
  <c r="D163" i="1"/>
  <c r="D143" i="1"/>
  <c r="D120" i="1"/>
  <c r="D96" i="1"/>
  <c r="D32" i="1"/>
  <c r="D61" i="1"/>
  <c r="D260" i="1" l="1"/>
  <c r="D257" i="1"/>
  <c r="D241" i="1"/>
  <c r="D156" i="1"/>
  <c r="D197" i="1"/>
  <c r="D88" i="1"/>
  <c r="D135" i="1"/>
  <c r="D179" i="1"/>
  <c r="D113" i="1"/>
  <c r="D261" i="1" l="1"/>
  <c r="D214" i="1"/>
</calcChain>
</file>

<file path=xl/sharedStrings.xml><?xml version="1.0" encoding="utf-8"?>
<sst xmlns="http://schemas.openxmlformats.org/spreadsheetml/2006/main" count="5090" uniqueCount="226">
  <si>
    <t>Komló Térségi Családsegítő és Gyermekjóléti Szolgálat 2019</t>
  </si>
  <si>
    <t>Részletező</t>
  </si>
  <si>
    <t>Cofog</t>
  </si>
  <si>
    <t>Rovat</t>
  </si>
  <si>
    <t>Eredeti ei.</t>
  </si>
  <si>
    <t>Tény</t>
  </si>
  <si>
    <t>1201-Komló</t>
  </si>
  <si>
    <t>1202-Egyházaskozár</t>
  </si>
  <si>
    <t>1203-Hosszúhetény</t>
  </si>
  <si>
    <t>1204-Magyarszék</t>
  </si>
  <si>
    <t>1206- EFOP1.5.2-16-00028</t>
  </si>
  <si>
    <t>5201-Komló</t>
  </si>
  <si>
    <t>5202-Egyházaskozár</t>
  </si>
  <si>
    <t>5203-Hosszúhetény</t>
  </si>
  <si>
    <t>5204- Magyarszék</t>
  </si>
  <si>
    <t>5206- EFOP1.5.2-16-00028</t>
  </si>
  <si>
    <t>B16</t>
  </si>
  <si>
    <t>B8131</t>
  </si>
  <si>
    <t>B816</t>
  </si>
  <si>
    <t>B403</t>
  </si>
  <si>
    <t>B4082</t>
  </si>
  <si>
    <t>018030</t>
  </si>
  <si>
    <t>B25</t>
  </si>
  <si>
    <t>104042</t>
  </si>
  <si>
    <t>K1101</t>
  </si>
  <si>
    <t>K1107</t>
  </si>
  <si>
    <t>K1108</t>
  </si>
  <si>
    <t>K1109</t>
  </si>
  <si>
    <t>K1110</t>
  </si>
  <si>
    <t>K1113</t>
  </si>
  <si>
    <t>K123</t>
  </si>
  <si>
    <t>K2</t>
  </si>
  <si>
    <t>K311</t>
  </si>
  <si>
    <t>K312</t>
  </si>
  <si>
    <t>K321</t>
  </si>
  <si>
    <t>K322</t>
  </si>
  <si>
    <t>K331</t>
  </si>
  <si>
    <t>K333</t>
  </si>
  <si>
    <t>K334</t>
  </si>
  <si>
    <t>K335</t>
  </si>
  <si>
    <t>K336</t>
  </si>
  <si>
    <t>K337</t>
  </si>
  <si>
    <t>K341</t>
  </si>
  <si>
    <t>K342</t>
  </si>
  <si>
    <t>K351</t>
  </si>
  <si>
    <t>K355</t>
  </si>
  <si>
    <t>104043</t>
  </si>
  <si>
    <t>K1104</t>
  </si>
  <si>
    <t>K1106</t>
  </si>
  <si>
    <t>K3</t>
  </si>
  <si>
    <t>K64</t>
  </si>
  <si>
    <t>K67</t>
  </si>
  <si>
    <t>K6</t>
  </si>
  <si>
    <t>K1</t>
  </si>
  <si>
    <t>1205- Szászvár</t>
  </si>
  <si>
    <t>5205- Szászvár</t>
  </si>
  <si>
    <t>K63</t>
  </si>
  <si>
    <t>K47</t>
  </si>
  <si>
    <t>52011 - Bérkomp Komló 104043</t>
  </si>
  <si>
    <t>52012 - Bérkomp Komló 104042</t>
  </si>
  <si>
    <t>52013 - Szoc ágazati Komló 104042</t>
  </si>
  <si>
    <t>52014 - Szoc ágazati Komló 104043</t>
  </si>
  <si>
    <t>52021 - Bérkomp Egyházaskozár 104042</t>
  </si>
  <si>
    <t>52022 - Szoc ágazati Egyházaskozás 104042</t>
  </si>
  <si>
    <t>52031 - Bérkomp Hosszúhetény 104042</t>
  </si>
  <si>
    <t>52032 - Szoc. ágazati Hosszúhetény 104042</t>
  </si>
  <si>
    <t>52041 - Szoc. ágazati Magyarszék 104042</t>
  </si>
  <si>
    <t>52051 - Bérkomp Szászvár 104042</t>
  </si>
  <si>
    <t>52071 - Szoc. ágazati Iskolai szociális munka 104043</t>
  </si>
  <si>
    <t>Előirányzat változás</t>
  </si>
  <si>
    <t>Átcsoportosítás</t>
  </si>
  <si>
    <t>Módosítás</t>
  </si>
  <si>
    <t>Különbözet (mód.ei. - tény)</t>
  </si>
  <si>
    <t>BEVÉTEL ÖSSZESEN</t>
  </si>
  <si>
    <t>KIADÁS ÖSSZESEN</t>
  </si>
  <si>
    <t>52052 - Szoc. ágazati Szászvár 104042</t>
  </si>
  <si>
    <t>KOMLÓ ÖSSZESEN</t>
  </si>
  <si>
    <t>EGYHÁZASKOZÁR ÖSSZESEN</t>
  </si>
  <si>
    <t>HOSSZÚHETÉNY ÖSSZESEN</t>
  </si>
  <si>
    <t>MAGYARSZÉK ÖSSZESEN</t>
  </si>
  <si>
    <t>SZÁSZVÁR ÖSSZESEN</t>
  </si>
  <si>
    <t>EFOP ÖSSZESEN</t>
  </si>
  <si>
    <t>ISKOLAI SZOC. MUNKA ÖSSZESEN</t>
  </si>
  <si>
    <t>PM INFO EGYEZTETŐ</t>
  </si>
  <si>
    <t>B411</t>
  </si>
  <si>
    <t>5207-Iskolai szociális munka</t>
  </si>
  <si>
    <t>B4</t>
  </si>
  <si>
    <t>B8</t>
  </si>
  <si>
    <t>K</t>
  </si>
  <si>
    <t>Módosított ei. 03.31.</t>
  </si>
  <si>
    <t>Módosított ei. 04.30.</t>
  </si>
  <si>
    <t>Tény 04.30</t>
  </si>
  <si>
    <t>Különbözet (mód.ei. - tény) 04.30.</t>
  </si>
  <si>
    <t>Előirányzat változás 04.30</t>
  </si>
  <si>
    <t>B</t>
  </si>
  <si>
    <t>Tény 05.31</t>
  </si>
  <si>
    <t>Módosított ei. 05.31.</t>
  </si>
  <si>
    <t>Előirányzat változás 05.31-ig</t>
  </si>
  <si>
    <t>Előirányzat változás 05.31</t>
  </si>
  <si>
    <t>Tény 05.31.</t>
  </si>
  <si>
    <t>K4</t>
  </si>
  <si>
    <t>Módosítás-Választási nap</t>
  </si>
  <si>
    <t>Módosítás-Műk. bev. többlet</t>
  </si>
  <si>
    <t>Módosítás-Műk.bev. Többlet</t>
  </si>
  <si>
    <t>Részletező kód</t>
  </si>
  <si>
    <t>COFOG</t>
  </si>
  <si>
    <t>Előirányzat változás 06.30.</t>
  </si>
  <si>
    <t>Módosított ei. 06.30.</t>
  </si>
  <si>
    <t>Tény 06.30.</t>
  </si>
  <si>
    <t>Különbözet (módosított ei. - tény) 06.30</t>
  </si>
  <si>
    <t>Előirányzat változás 07.31.</t>
  </si>
  <si>
    <t>Módosított ei. 07.31.</t>
  </si>
  <si>
    <t>Tény 07.31.</t>
  </si>
  <si>
    <t>Különbözet (módosított ei. - tény) 07.31.</t>
  </si>
  <si>
    <t>Előirányzat változás 08.31.</t>
  </si>
  <si>
    <t>Módosított ei. 08.31.</t>
  </si>
  <si>
    <t>Tény 08.31.</t>
  </si>
  <si>
    <t>Különbözet (módosított ei. - tény) 08.31.</t>
  </si>
  <si>
    <t>Tény 8.31.</t>
  </si>
  <si>
    <t>Módosított ei. 09.30.</t>
  </si>
  <si>
    <t>Különbözet (módosított ei. - tény)</t>
  </si>
  <si>
    <t>FŐKÖNYV EGYEZTETŐ</t>
  </si>
  <si>
    <t>Módosítás Működési bevételi többlet</t>
  </si>
  <si>
    <t>Módosítás Min.bér és gar.bérmin. tám.</t>
  </si>
  <si>
    <t>Módosítás EFOP 1.5.2.-16</t>
  </si>
  <si>
    <t>Módosított bevételek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</si>
  <si>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</si>
  <si>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</si>
  <si>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</si>
  <si>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</si>
  <si>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</si>
  <si>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</si>
  <si>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</si>
  <si>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</si>
  <si>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</si>
  <si>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</si>
  <si>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</si>
  <si>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</si>
  <si>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</si>
  <si>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</si>
  <si>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</si>
  <si>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</si>
  <si>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</si>
  <si>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</si>
  <si>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</si>
  <si>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</si>
  <si>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</si>
  <si>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</si>
  <si>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</si>
  <si>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</si>
  <si>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</si>
  <si>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</si>
  <si>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</si>
  <si>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</si>
  <si>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</si>
  <si>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</si>
  <si>
    <t>Előirányzat változás 09.30.</t>
  </si>
  <si>
    <t>Tény 09.30.</t>
  </si>
  <si>
    <t>Különbözet (módosított ei. - tény) 09.30.</t>
  </si>
  <si>
    <t>Módosított ei. 10.31.</t>
  </si>
  <si>
    <t>Előirányzat változás 10.31</t>
  </si>
  <si>
    <t>Tény 10.31.</t>
  </si>
  <si>
    <t>Különbözet (módosított ei. - tény) 10.31.</t>
  </si>
  <si>
    <t>Választási nap 2019.okt.</t>
  </si>
  <si>
    <t>Módosított ei. 11.30</t>
  </si>
  <si>
    <t>Módosítás Választási nap 2019.okt.</t>
  </si>
  <si>
    <t>Módosított ei. 11.30.</t>
  </si>
  <si>
    <t>Módosítás Kp. tám.korr. (bérkompenzáció)</t>
  </si>
  <si>
    <t>Módosítás Kp. tám.korr. (szoc.ág.p.)</t>
  </si>
  <si>
    <t>B816 Központi irányító szervi támogatás (szoc.ág.)</t>
  </si>
  <si>
    <t>B816 Központi irányító szervi támogatás (bérkompenzáció)</t>
  </si>
  <si>
    <t>B816 Központi irányító szervi támogatás (szoc.ág.pótlék)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</si>
  <si>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</si>
  <si>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</si>
  <si>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</si>
  <si>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</si>
  <si>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</si>
  <si>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</si>
  <si>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</t>
  </si>
  <si>
    <t>Módosítás Kp. tám.korr. (szoc.ág.p.-Tóth Andrea)</t>
  </si>
  <si>
    <t>Módosítás-Saját bevétel csökk.</t>
  </si>
  <si>
    <t>Módosítás-Központi tám.korr.(bérkomp)</t>
  </si>
  <si>
    <t>Módosítás-Központi tám.korr.(szoc.ágazati p.)</t>
  </si>
  <si>
    <t>Módosítás-EFOP Támogatás értékű bevétel csökk.</t>
  </si>
  <si>
    <t>B16  Műk.c.tám.ért.bev. EU-s támogatás</t>
  </si>
  <si>
    <t>5208-Magyarhertelend</t>
  </si>
  <si>
    <t>52081 - Szoc.ágazati Magyarhertelend</t>
  </si>
  <si>
    <t>1208-Magyarhertelend</t>
  </si>
  <si>
    <t>MAGYARHERTELEND ÖSSZESEN</t>
  </si>
  <si>
    <t>Komló Térségi Családsegítő és Gyermekjóléti Szolgálat</t>
  </si>
  <si>
    <t>K1112</t>
  </si>
  <si>
    <t>Módosított ei. 12.31</t>
  </si>
  <si>
    <t>1207-Iskolai szoc.munka</t>
  </si>
  <si>
    <t>Komló Térségi Családsegítő és Gyermekjóléti Szolgálat 2023.</t>
  </si>
  <si>
    <t>B402</t>
  </si>
  <si>
    <t>K3313</t>
  </si>
  <si>
    <t>K3314</t>
  </si>
  <si>
    <t>B816 Központi irányító szervi tám. (zárszámadás)</t>
  </si>
  <si>
    <t>B816 Központi irányító szervi támogatás (szoc.ág.p.)</t>
  </si>
  <si>
    <t>B816 Központi irányító szervi támogatás (bérkomp.)</t>
  </si>
  <si>
    <t>B16  Támogatás értékű működési bevétel (önk.)</t>
  </si>
  <si>
    <t>B816 Központi irányító szervi támogatás (kieg.tám.)</t>
  </si>
  <si>
    <t>B53</t>
  </si>
  <si>
    <t>Előirányzat változás 2023.01.01. - 05.25.</t>
  </si>
  <si>
    <t>Módosított ei. 05.25.</t>
  </si>
  <si>
    <t>B5</t>
  </si>
  <si>
    <t>Bírósági ülnöki tevékenység  bér</t>
  </si>
  <si>
    <t>B16  Támogatás értékű működési bevétel (Kp-i költs-i szerv)</t>
  </si>
  <si>
    <t>B53  Egyéb tárgyi eszközök értékesítése</t>
  </si>
  <si>
    <t>Előirányzat változás 2023.06.01.-09.28.</t>
  </si>
  <si>
    <t>Módosított ei. 09.28.</t>
  </si>
  <si>
    <t>Szoc ágazati pótlék módosítás</t>
  </si>
  <si>
    <t>Bírósági ülnöki tevékenység bér</t>
  </si>
  <si>
    <t>B816 Központi irányító szervi támogatás (zárszámadás)</t>
  </si>
  <si>
    <t>B816 Központi irányító szervi tám. (kieg.támogatás)</t>
  </si>
  <si>
    <t>MÓDOSÍTOTT BEVÉTELEK</t>
  </si>
  <si>
    <t>MÓDOSÍTOTT KIADÁSOK</t>
  </si>
  <si>
    <t>ÁTCSOPORTOSÍTOTT BEVÉTELEK</t>
  </si>
  <si>
    <t>ÁTCSOPORTOSÍTOTT KIADÁSOK</t>
  </si>
  <si>
    <t>Előirányzat változás 2023.09.28.-11.30</t>
  </si>
  <si>
    <t>Tény 12.31</t>
  </si>
  <si>
    <t>Előirányzat változás 2023.12.01.-12.31.</t>
  </si>
  <si>
    <t>Saját bevétel módosítás</t>
  </si>
  <si>
    <t>Bírósági ülnöki tev.bértám.</t>
  </si>
  <si>
    <t>Szociális ágazati pótlék változás</t>
  </si>
  <si>
    <t>Szászvár Működési hj.csökk.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</si>
</sst>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Ft&quot;;\-#,##0\ &quot;Ft&quot;"/>
    <numFmt numFmtId="6" formatCode="#,##0\ &quot;Ft&quot;;[Red]\-#,##0\ &quot;Ft&quot;"/>
    <numFmt numFmtId="43" formatCode="_-* #,##0.00_-;\-* #,##0.00_-;_-* &quot;-&quot;??_-;_-@_-"/>
    <numFmt numFmtId="164" formatCode="_-* #,##0_-;\-* #,##0_-;_-* &quot;-&quot;??_-;_-@_-"/>
    <numFmt numFmtId="165" formatCode="#,##0\ &quot;Ft&quot;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scheme val="minor"/>
    </font>
    <font>
      <b/>
      <sz val="16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rgb="FFD6E63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3" fontId="25" fillId="0" borderId="0" applyFont="0" applyFill="0" applyBorder="0" applyAlignment="0" applyProtection="0"/>
  </cellStyleXfs>
  <cellXfs count="428">
    <xf numFmtId="0" fontId="0" fillId="0" borderId="0" xfId="0"/>
    <xf numFmtId="0" fontId="24" fillId="0" borderId="0" xfId="0" applyFont="1" applyAlignment="1">
      <alignment vertical="center"/>
    </xf>
    <xf numFmtId="0" fontId="0" fillId="0" borderId="1" xfId="0" applyBorder="1"/>
    <xf numFmtId="3" fontId="0" fillId="0" borderId="1" xfId="0" applyNumberFormat="1" applyBorder="1"/>
    <xf numFmtId="3" fontId="0" fillId="0" borderId="0" xfId="0" applyNumberFormat="1"/>
    <xf numFmtId="49" fontId="0" fillId="0" borderId="0" xfId="0" applyNumberFormat="1"/>
    <xf numFmtId="0" fontId="23" fillId="4" borderId="1" xfId="0" applyFont="1" applyFill="1" applyBorder="1"/>
    <xf numFmtId="3" fontId="23" fillId="4" borderId="1" xfId="0" applyNumberFormat="1" applyFont="1" applyFill="1" applyBorder="1"/>
    <xf numFmtId="3" fontId="0" fillId="4" borderId="1" xfId="0" applyNumberFormat="1" applyFill="1" applyBorder="1"/>
    <xf numFmtId="3" fontId="23" fillId="3" borderId="1" xfId="0" applyNumberFormat="1" applyFont="1" applyFill="1" applyBorder="1" applyAlignment="1">
      <alignment horizontal="center" vertical="center"/>
    </xf>
    <xf numFmtId="0" fontId="22" fillId="5" borderId="1" xfId="0" applyFont="1" applyFill="1" applyBorder="1"/>
    <xf numFmtId="3" fontId="23" fillId="5" borderId="1" xfId="0" applyNumberFormat="1" applyFont="1" applyFill="1" applyBorder="1"/>
    <xf numFmtId="49" fontId="0" fillId="0" borderId="1" xfId="0" applyNumberFormat="1" applyBorder="1"/>
    <xf numFmtId="3" fontId="0" fillId="4" borderId="3" xfId="0" applyNumberFormat="1" applyFill="1" applyBorder="1"/>
    <xf numFmtId="0" fontId="0" fillId="5" borderId="0" xfId="0" applyFill="1"/>
    <xf numFmtId="0" fontId="21" fillId="5" borderId="1" xfId="0" applyFont="1" applyFill="1" applyBorder="1"/>
    <xf numFmtId="49" fontId="0" fillId="5" borderId="1" xfId="0" applyNumberFormat="1" applyFill="1" applyBorder="1"/>
    <xf numFmtId="3" fontId="0" fillId="5" borderId="1" xfId="0" applyNumberFormat="1" applyFill="1" applyBorder="1"/>
    <xf numFmtId="49" fontId="0" fillId="5" borderId="3" xfId="0" applyNumberFormat="1" applyFill="1" applyBorder="1"/>
    <xf numFmtId="3" fontId="0" fillId="5" borderId="3" xfId="0" applyNumberFormat="1" applyFill="1" applyBorder="1"/>
    <xf numFmtId="3" fontId="0" fillId="0" borderId="5" xfId="0" applyNumberFormat="1" applyBorder="1"/>
    <xf numFmtId="3" fontId="0" fillId="4" borderId="5" xfId="0" applyNumberFormat="1" applyFill="1" applyBorder="1"/>
    <xf numFmtId="3" fontId="23" fillId="4" borderId="1" xfId="0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3" fontId="20" fillId="5" borderId="1" xfId="0" applyNumberFormat="1" applyFont="1" applyFill="1" applyBorder="1"/>
    <xf numFmtId="0" fontId="20" fillId="5" borderId="1" xfId="0" applyFont="1" applyFill="1" applyBorder="1"/>
    <xf numFmtId="49" fontId="23" fillId="4" borderId="1" xfId="0" applyNumberFormat="1" applyFont="1" applyFill="1" applyBorder="1"/>
    <xf numFmtId="49" fontId="23" fillId="4" borderId="3" xfId="0" applyNumberFormat="1" applyFont="1" applyFill="1" applyBorder="1"/>
    <xf numFmtId="3" fontId="23" fillId="4" borderId="3" xfId="0" applyNumberFormat="1" applyFont="1" applyFill="1" applyBorder="1"/>
    <xf numFmtId="0" fontId="0" fillId="0" borderId="0" xfId="0" applyAlignment="1">
      <alignment vertical="center"/>
    </xf>
    <xf numFmtId="0" fontId="23" fillId="5" borderId="0" xfId="0" applyFont="1" applyFill="1" applyAlignment="1">
      <alignment vertical="center"/>
    </xf>
    <xf numFmtId="0" fontId="23" fillId="4" borderId="0" xfId="0" applyFont="1" applyFill="1" applyAlignment="1">
      <alignment vertical="center"/>
    </xf>
    <xf numFmtId="3" fontId="23" fillId="4" borderId="3" xfId="0" applyNumberFormat="1" applyFont="1" applyFill="1" applyBorder="1" applyAlignment="1">
      <alignment vertical="center"/>
    </xf>
    <xf numFmtId="0" fontId="0" fillId="5" borderId="1" xfId="0" applyFill="1" applyBorder="1" applyProtection="1">
      <protection locked="0"/>
    </xf>
    <xf numFmtId="3" fontId="27" fillId="0" borderId="1" xfId="0" applyNumberFormat="1" applyFont="1" applyBorder="1" applyProtection="1">
      <protection locked="0"/>
    </xf>
    <xf numFmtId="0" fontId="28" fillId="5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27" fillId="0" borderId="1" xfId="0" applyFont="1" applyBorder="1" applyProtection="1">
      <protection locked="0"/>
    </xf>
    <xf numFmtId="0" fontId="28" fillId="0" borderId="1" xfId="0" applyFont="1" applyBorder="1" applyProtection="1">
      <protection locked="0"/>
    </xf>
    <xf numFmtId="164" fontId="0" fillId="0" borderId="0" xfId="1" applyNumberFormat="1" applyFont="1"/>
    <xf numFmtId="164" fontId="23" fillId="4" borderId="1" xfId="1" applyNumberFormat="1" applyFont="1" applyFill="1" applyBorder="1" applyAlignment="1">
      <alignment vertical="center"/>
    </xf>
    <xf numFmtId="164" fontId="27" fillId="0" borderId="1" xfId="1" applyNumberFormat="1" applyFont="1" applyBorder="1" applyProtection="1">
      <protection locked="0"/>
    </xf>
    <xf numFmtId="3" fontId="31" fillId="4" borderId="1" xfId="0" applyNumberFormat="1" applyFont="1" applyFill="1" applyBorder="1" applyAlignment="1">
      <alignment vertical="center"/>
    </xf>
    <xf numFmtId="0" fontId="32" fillId="0" borderId="1" xfId="0" applyFont="1" applyBorder="1" applyAlignment="1">
      <alignment horizontal="left" vertical="top"/>
    </xf>
    <xf numFmtId="3" fontId="32" fillId="0" borderId="1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49" fontId="19" fillId="0" borderId="3" xfId="0" applyNumberFormat="1" applyFont="1" applyBorder="1"/>
    <xf numFmtId="3" fontId="19" fillId="0" borderId="3" xfId="0" applyNumberFormat="1" applyFont="1" applyBorder="1"/>
    <xf numFmtId="0" fontId="19" fillId="0" borderId="0" xfId="0" applyFont="1"/>
    <xf numFmtId="49" fontId="19" fillId="4" borderId="3" xfId="0" applyNumberFormat="1" applyFont="1" applyFill="1" applyBorder="1"/>
    <xf numFmtId="3" fontId="19" fillId="4" borderId="3" xfId="0" applyNumberFormat="1" applyFont="1" applyFill="1" applyBorder="1"/>
    <xf numFmtId="3" fontId="0" fillId="0" borderId="1" xfId="1" applyNumberFormat="1" applyFont="1" applyBorder="1"/>
    <xf numFmtId="3" fontId="23" fillId="4" borderId="1" xfId="1" applyNumberFormat="1" applyFont="1" applyFill="1" applyBorder="1"/>
    <xf numFmtId="3" fontId="0" fillId="4" borderId="1" xfId="1" applyNumberFormat="1" applyFont="1" applyFill="1" applyBorder="1"/>
    <xf numFmtId="3" fontId="23" fillId="4" borderId="1" xfId="1" applyNumberFormat="1" applyFont="1" applyFill="1" applyBorder="1" applyAlignment="1">
      <alignment vertical="center"/>
    </xf>
    <xf numFmtId="3" fontId="31" fillId="4" borderId="1" xfId="1" applyNumberFormat="1" applyFont="1" applyFill="1" applyBorder="1" applyAlignment="1">
      <alignment vertical="center"/>
    </xf>
    <xf numFmtId="3" fontId="32" fillId="0" borderId="1" xfId="1" applyNumberFormat="1" applyFont="1" applyFill="1" applyBorder="1" applyAlignment="1">
      <alignment vertical="center"/>
    </xf>
    <xf numFmtId="3" fontId="19" fillId="0" borderId="1" xfId="1" applyNumberFormat="1" applyFont="1" applyFill="1" applyBorder="1"/>
    <xf numFmtId="3" fontId="19" fillId="4" borderId="3" xfId="1" applyNumberFormat="1" applyFont="1" applyFill="1" applyBorder="1"/>
    <xf numFmtId="3" fontId="23" fillId="4" borderId="3" xfId="1" applyNumberFormat="1" applyFont="1" applyFill="1" applyBorder="1" applyAlignment="1">
      <alignment vertical="center"/>
    </xf>
    <xf numFmtId="0" fontId="30" fillId="6" borderId="1" xfId="0" applyFont="1" applyFill="1" applyBorder="1" applyAlignment="1" applyProtection="1">
      <alignment horizontal="center" vertical="center"/>
      <protection locked="0"/>
    </xf>
    <xf numFmtId="3" fontId="30" fillId="6" borderId="1" xfId="0" applyNumberFormat="1" applyFont="1" applyFill="1" applyBorder="1" applyAlignment="1" applyProtection="1">
      <alignment horizontal="center"/>
      <protection locked="0"/>
    </xf>
    <xf numFmtId="164" fontId="30" fillId="6" borderId="1" xfId="1" applyNumberFormat="1" applyFont="1" applyFill="1" applyBorder="1" applyAlignment="1" applyProtection="1">
      <alignment horizontal="center"/>
      <protection locked="0"/>
    </xf>
    <xf numFmtId="0" fontId="29" fillId="7" borderId="1" xfId="0" applyFont="1" applyFill="1" applyBorder="1" applyProtection="1">
      <protection locked="0"/>
    </xf>
    <xf numFmtId="3" fontId="30" fillId="7" borderId="1" xfId="0" applyNumberFormat="1" applyFont="1" applyFill="1" applyBorder="1" applyProtection="1">
      <protection locked="0"/>
    </xf>
    <xf numFmtId="0" fontId="30" fillId="7" borderId="1" xfId="0" applyFont="1" applyFill="1" applyBorder="1" applyAlignment="1" applyProtection="1">
      <alignment horizontal="left" vertical="center"/>
      <protection locked="0"/>
    </xf>
    <xf numFmtId="3" fontId="29" fillId="7" borderId="1" xfId="0" applyNumberFormat="1" applyFont="1" applyFill="1" applyBorder="1" applyProtection="1">
      <protection locked="0"/>
    </xf>
    <xf numFmtId="0" fontId="29" fillId="6" borderId="1" xfId="0" applyFont="1" applyFill="1" applyBorder="1" applyProtection="1">
      <protection locked="0"/>
    </xf>
    <xf numFmtId="3" fontId="29" fillId="6" borderId="1" xfId="0" applyNumberFormat="1" applyFont="1" applyFill="1" applyBorder="1" applyProtection="1">
      <protection locked="0"/>
    </xf>
    <xf numFmtId="3" fontId="23" fillId="8" borderId="1" xfId="0" applyNumberFormat="1" applyFont="1" applyFill="1" applyBorder="1" applyAlignment="1">
      <alignment vertical="center"/>
    </xf>
    <xf numFmtId="3" fontId="23" fillId="8" borderId="1" xfId="0" applyNumberFormat="1" applyFont="1" applyFill="1" applyBorder="1" applyAlignment="1">
      <alignment horizontal="center" vertical="center"/>
    </xf>
    <xf numFmtId="0" fontId="30" fillId="6" borderId="1" xfId="0" applyFont="1" applyFill="1" applyBorder="1" applyAlignment="1" applyProtection="1">
      <alignment horizontal="center" vertical="center" wrapText="1"/>
      <protection locked="0"/>
    </xf>
    <xf numFmtId="3" fontId="23" fillId="6" borderId="1" xfId="0" applyNumberFormat="1" applyFont="1" applyFill="1" applyBorder="1" applyAlignment="1">
      <alignment horizontal="center" vertical="center" wrapText="1"/>
    </xf>
    <xf numFmtId="3" fontId="30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30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3" fontId="23" fillId="11" borderId="1" xfId="0" applyNumberFormat="1" applyFont="1" applyFill="1" applyBorder="1" applyAlignment="1">
      <alignment horizontal="center" vertical="center"/>
    </xf>
    <xf numFmtId="3" fontId="23" fillId="11" borderId="1" xfId="0" applyNumberFormat="1" applyFont="1" applyFill="1" applyBorder="1" applyAlignment="1">
      <alignment vertical="center"/>
    </xf>
    <xf numFmtId="3" fontId="23" fillId="12" borderId="3" xfId="0" applyNumberFormat="1" applyFont="1" applyFill="1" applyBorder="1" applyAlignment="1">
      <alignment vertical="center"/>
    </xf>
    <xf numFmtId="3" fontId="23" fillId="12" borderId="3" xfId="1" applyNumberFormat="1" applyFont="1" applyFill="1" applyBorder="1" applyAlignment="1">
      <alignment vertical="center"/>
    </xf>
    <xf numFmtId="3" fontId="23" fillId="12" borderId="1" xfId="0" applyNumberFormat="1" applyFont="1" applyFill="1" applyBorder="1" applyAlignment="1">
      <alignment vertical="center"/>
    </xf>
    <xf numFmtId="3" fontId="31" fillId="12" borderId="1" xfId="0" applyNumberFormat="1" applyFont="1" applyFill="1" applyBorder="1" applyAlignment="1">
      <alignment vertical="center"/>
    </xf>
    <xf numFmtId="0" fontId="23" fillId="13" borderId="1" xfId="0" applyFont="1" applyFill="1" applyBorder="1"/>
    <xf numFmtId="3" fontId="23" fillId="13" borderId="1" xfId="0" applyNumberFormat="1" applyFont="1" applyFill="1" applyBorder="1"/>
    <xf numFmtId="3" fontId="0" fillId="13" borderId="5" xfId="0" applyNumberFormat="1" applyFill="1" applyBorder="1"/>
    <xf numFmtId="3" fontId="0" fillId="13" borderId="1" xfId="0" applyNumberFormat="1" applyFill="1" applyBorder="1"/>
    <xf numFmtId="49" fontId="23" fillId="13" borderId="3" xfId="0" applyNumberFormat="1" applyFont="1" applyFill="1" applyBorder="1"/>
    <xf numFmtId="3" fontId="23" fillId="13" borderId="3" xfId="0" applyNumberFormat="1" applyFont="1" applyFill="1" applyBorder="1"/>
    <xf numFmtId="3" fontId="0" fillId="13" borderId="3" xfId="0" applyNumberFormat="1" applyFill="1" applyBorder="1"/>
    <xf numFmtId="3" fontId="23" fillId="14" borderId="1" xfId="0" applyNumberFormat="1" applyFont="1" applyFill="1" applyBorder="1" applyAlignment="1">
      <alignment horizontal="center" vertical="center"/>
    </xf>
    <xf numFmtId="3" fontId="23" fillId="14" borderId="1" xfId="0" applyNumberFormat="1" applyFont="1" applyFill="1" applyBorder="1" applyAlignment="1">
      <alignment vertical="center"/>
    </xf>
    <xf numFmtId="3" fontId="23" fillId="15" borderId="1" xfId="0" applyNumberFormat="1" applyFont="1" applyFill="1" applyBorder="1" applyAlignment="1">
      <alignment vertical="center"/>
    </xf>
    <xf numFmtId="0" fontId="0" fillId="15" borderId="0" xfId="0" applyFill="1"/>
    <xf numFmtId="3" fontId="31" fillId="15" borderId="1" xfId="0" applyNumberFormat="1" applyFont="1" applyFill="1" applyBorder="1" applyAlignment="1">
      <alignment vertical="center"/>
    </xf>
    <xf numFmtId="3" fontId="23" fillId="15" borderId="3" xfId="0" applyNumberFormat="1" applyFont="1" applyFill="1" applyBorder="1" applyAlignment="1">
      <alignment vertical="center"/>
    </xf>
    <xf numFmtId="3" fontId="19" fillId="4" borderId="1" xfId="0" applyNumberFormat="1" applyFont="1" applyFill="1" applyBorder="1"/>
    <xf numFmtId="0" fontId="23" fillId="0" borderId="1" xfId="0" applyFont="1" applyBorder="1"/>
    <xf numFmtId="49" fontId="23" fillId="0" borderId="3" xfId="0" applyNumberFormat="1" applyFont="1" applyBorder="1"/>
    <xf numFmtId="49" fontId="18" fillId="0" borderId="3" xfId="0" applyNumberFormat="1" applyFont="1" applyBorder="1"/>
    <xf numFmtId="49" fontId="17" fillId="0" borderId="3" xfId="0" applyNumberFormat="1" applyFont="1" applyBorder="1"/>
    <xf numFmtId="3" fontId="17" fillId="0" borderId="3" xfId="0" applyNumberFormat="1" applyFont="1" applyBorder="1"/>
    <xf numFmtId="0" fontId="17" fillId="0" borderId="0" xfId="0" applyFont="1"/>
    <xf numFmtId="3" fontId="33" fillId="14" borderId="1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3" fontId="35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36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37" fillId="0" borderId="0" xfId="1" applyNumberFormat="1" applyFont="1"/>
    <xf numFmtId="3" fontId="37" fillId="0" borderId="1" xfId="1" applyNumberFormat="1" applyFont="1" applyBorder="1"/>
    <xf numFmtId="3" fontId="31" fillId="11" borderId="1" xfId="0" applyNumberFormat="1" applyFont="1" applyFill="1" applyBorder="1" applyAlignment="1">
      <alignment vertical="center"/>
    </xf>
    <xf numFmtId="3" fontId="31" fillId="4" borderId="1" xfId="1" applyNumberFormat="1" applyFont="1" applyFill="1" applyBorder="1"/>
    <xf numFmtId="3" fontId="37" fillId="13" borderId="1" xfId="1" applyNumberFormat="1" applyFont="1" applyFill="1" applyBorder="1"/>
    <xf numFmtId="3" fontId="31" fillId="12" borderId="1" xfId="1" applyNumberFormat="1" applyFont="1" applyFill="1" applyBorder="1" applyAlignment="1">
      <alignment vertical="center"/>
    </xf>
    <xf numFmtId="3" fontId="31" fillId="4" borderId="1" xfId="0" applyNumberFormat="1" applyFont="1" applyFill="1" applyBorder="1"/>
    <xf numFmtId="3" fontId="32" fillId="0" borderId="1" xfId="1" applyNumberFormat="1" applyFont="1" applyFill="1" applyBorder="1"/>
    <xf numFmtId="3" fontId="32" fillId="4" borderId="3" xfId="0" applyNumberFormat="1" applyFont="1" applyFill="1" applyBorder="1"/>
    <xf numFmtId="3" fontId="31" fillId="12" borderId="3" xfId="1" applyNumberFormat="1" applyFont="1" applyFill="1" applyBorder="1" applyAlignment="1">
      <alignment vertical="center"/>
    </xf>
    <xf numFmtId="3" fontId="30" fillId="6" borderId="1" xfId="0" applyNumberFormat="1" applyFont="1" applyFill="1" applyBorder="1" applyProtection="1">
      <protection locked="0"/>
    </xf>
    <xf numFmtId="0" fontId="37" fillId="0" borderId="0" xfId="0" applyFont="1"/>
    <xf numFmtId="3" fontId="23" fillId="11" borderId="1" xfId="0" applyNumberFormat="1" applyFont="1" applyFill="1" applyBorder="1" applyAlignment="1">
      <alignment horizontal="center" vertical="center" wrapText="1"/>
    </xf>
    <xf numFmtId="3" fontId="29" fillId="17" borderId="5" xfId="0" applyNumberFormat="1" applyFont="1" applyFill="1" applyBorder="1" applyAlignment="1" applyProtection="1">
      <alignment horizontal="center" vertical="center" wrapText="1"/>
      <protection locked="0"/>
    </xf>
    <xf numFmtId="0" fontId="38" fillId="17" borderId="1" xfId="0" applyFont="1" applyFill="1" applyBorder="1" applyAlignment="1" applyProtection="1">
      <alignment horizontal="center" vertical="center" wrapText="1"/>
      <protection locked="0"/>
    </xf>
    <xf numFmtId="3" fontId="23" fillId="17" borderId="1" xfId="0" applyNumberFormat="1" applyFont="1" applyFill="1" applyBorder="1" applyAlignment="1">
      <alignment vertical="center"/>
    </xf>
    <xf numFmtId="3" fontId="31" fillId="17" borderId="1" xfId="0" applyNumberFormat="1" applyFont="1" applyFill="1" applyBorder="1" applyAlignment="1">
      <alignment vertical="center"/>
    </xf>
    <xf numFmtId="3" fontId="31" fillId="17" borderId="1" xfId="1" applyNumberFormat="1" applyFont="1" applyFill="1" applyBorder="1" applyAlignment="1">
      <alignment vertical="center"/>
    </xf>
    <xf numFmtId="3" fontId="23" fillId="17" borderId="3" xfId="0" applyNumberFormat="1" applyFont="1" applyFill="1" applyBorder="1" applyAlignment="1">
      <alignment vertical="center"/>
    </xf>
    <xf numFmtId="3" fontId="31" fillId="17" borderId="3" xfId="1" applyNumberFormat="1" applyFont="1" applyFill="1" applyBorder="1" applyAlignment="1">
      <alignment vertical="center"/>
    </xf>
    <xf numFmtId="3" fontId="23" fillId="17" borderId="3" xfId="1" applyNumberFormat="1" applyFont="1" applyFill="1" applyBorder="1" applyAlignment="1">
      <alignment vertical="center"/>
    </xf>
    <xf numFmtId="3" fontId="23" fillId="19" borderId="1" xfId="0" applyNumberFormat="1" applyFont="1" applyFill="1" applyBorder="1" applyAlignment="1">
      <alignment vertical="center"/>
    </xf>
    <xf numFmtId="3" fontId="31" fillId="19" borderId="1" xfId="0" applyNumberFormat="1" applyFont="1" applyFill="1" applyBorder="1" applyAlignment="1">
      <alignment vertical="center"/>
    </xf>
    <xf numFmtId="14" fontId="0" fillId="0" borderId="0" xfId="0" applyNumberFormat="1"/>
    <xf numFmtId="49" fontId="16" fillId="0" borderId="3" xfId="0" applyNumberFormat="1" applyFont="1" applyBorder="1"/>
    <xf numFmtId="3" fontId="0" fillId="20" borderId="1" xfId="0" applyNumberFormat="1" applyFill="1" applyBorder="1"/>
    <xf numFmtId="3" fontId="31" fillId="4" borderId="3" xfId="0" applyNumberFormat="1" applyFont="1" applyFill="1" applyBorder="1"/>
    <xf numFmtId="3" fontId="38" fillId="17" borderId="5" xfId="0" applyNumberFormat="1" applyFont="1" applyFill="1" applyBorder="1" applyAlignment="1" applyProtection="1">
      <alignment horizontal="center" vertical="center" wrapText="1"/>
      <protection locked="0"/>
    </xf>
    <xf numFmtId="3" fontId="15" fillId="5" borderId="1" xfId="0" applyNumberFormat="1" applyFont="1" applyFill="1" applyBorder="1"/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right" vertical="center"/>
    </xf>
    <xf numFmtId="165" fontId="39" fillId="0" borderId="0" xfId="0" applyNumberFormat="1" applyFont="1" applyAlignment="1">
      <alignment horizontal="right" vertical="center"/>
    </xf>
    <xf numFmtId="0" fontId="39" fillId="0" borderId="0" xfId="0" applyFont="1" applyAlignment="1">
      <alignment horizontal="left" vertical="center"/>
    </xf>
    <xf numFmtId="0" fontId="39" fillId="0" borderId="15" xfId="0" applyFont="1" applyBorder="1" applyAlignment="1">
      <alignment horizontal="left" vertical="center"/>
    </xf>
    <xf numFmtId="165" fontId="39" fillId="0" borderId="15" xfId="0" applyNumberFormat="1" applyFont="1" applyBorder="1" applyAlignment="1">
      <alignment horizontal="right" vertical="center"/>
    </xf>
    <xf numFmtId="0" fontId="39" fillId="0" borderId="15" xfId="0" applyFont="1" applyBorder="1"/>
    <xf numFmtId="0" fontId="39" fillId="0" borderId="15" xfId="0" applyFont="1" applyBorder="1" applyAlignment="1">
      <alignment horizontal="right"/>
    </xf>
    <xf numFmtId="165" fontId="39" fillId="0" borderId="15" xfId="0" applyNumberFormat="1" applyFont="1" applyBorder="1" applyAlignment="1">
      <alignment horizontal="right"/>
    </xf>
    <xf numFmtId="49" fontId="39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49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right" vertical="center"/>
    </xf>
    <xf numFmtId="165" fontId="28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165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15" xfId="0" applyFont="1" applyBorder="1" applyAlignment="1">
      <alignment horizontal="left" vertical="center"/>
    </xf>
    <xf numFmtId="165" fontId="29" fillId="0" borderId="15" xfId="0" applyNumberFormat="1" applyFont="1" applyBorder="1" applyAlignment="1">
      <alignment horizontal="right" vertical="center"/>
    </xf>
    <xf numFmtId="0" fontId="29" fillId="0" borderId="15" xfId="0" applyFont="1" applyBorder="1"/>
    <xf numFmtId="0" fontId="29" fillId="0" borderId="15" xfId="0" applyFont="1" applyBorder="1" applyAlignment="1">
      <alignment horizontal="right"/>
    </xf>
    <xf numFmtId="165" fontId="29" fillId="0" borderId="15" xfId="0" applyNumberFormat="1" applyFont="1" applyBorder="1" applyAlignment="1">
      <alignment horizontal="right"/>
    </xf>
    <xf numFmtId="3" fontId="14" fillId="5" borderId="1" xfId="0" applyNumberFormat="1" applyFont="1" applyFill="1" applyBorder="1"/>
    <xf numFmtId="3" fontId="23" fillId="10" borderId="1" xfId="0" applyNumberFormat="1" applyFont="1" applyFill="1" applyBorder="1" applyAlignment="1">
      <alignment vertical="center"/>
    </xf>
    <xf numFmtId="3" fontId="31" fillId="10" borderId="1" xfId="0" applyNumberFormat="1" applyFont="1" applyFill="1" applyBorder="1" applyAlignment="1">
      <alignment vertical="center"/>
    </xf>
    <xf numFmtId="3" fontId="29" fillId="10" borderId="5" xfId="0" applyNumberFormat="1" applyFont="1" applyFill="1" applyBorder="1" applyAlignment="1" applyProtection="1">
      <alignment horizontal="center" vertical="center" wrapText="1"/>
      <protection locked="0"/>
    </xf>
    <xf numFmtId="0" fontId="38" fillId="10" borderId="1" xfId="0" applyFont="1" applyFill="1" applyBorder="1" applyAlignment="1" applyProtection="1">
      <alignment horizontal="center" vertical="center" wrapText="1"/>
      <protection locked="0"/>
    </xf>
    <xf numFmtId="3" fontId="40" fillId="6" borderId="1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3" fontId="13" fillId="0" borderId="3" xfId="0" applyNumberFormat="1" applyFont="1" applyBorder="1"/>
    <xf numFmtId="3" fontId="13" fillId="0" borderId="5" xfId="0" applyNumberFormat="1" applyFont="1" applyBorder="1"/>
    <xf numFmtId="3" fontId="13" fillId="0" borderId="1" xfId="0" applyNumberFormat="1" applyFont="1" applyBorder="1"/>
    <xf numFmtId="49" fontId="13" fillId="0" borderId="3" xfId="0" applyNumberFormat="1" applyFont="1" applyBorder="1"/>
    <xf numFmtId="3" fontId="29" fillId="23" borderId="5" xfId="0" applyNumberFormat="1" applyFont="1" applyFill="1" applyBorder="1" applyAlignment="1" applyProtection="1">
      <alignment horizontal="center" vertical="center" wrapText="1"/>
      <protection locked="0"/>
    </xf>
    <xf numFmtId="0" fontId="38" fillId="23" borderId="1" xfId="0" applyFont="1" applyFill="1" applyBorder="1" applyAlignment="1" applyProtection="1">
      <alignment horizontal="center" vertical="center" wrapText="1"/>
      <protection locked="0"/>
    </xf>
    <xf numFmtId="3" fontId="23" fillId="23" borderId="1" xfId="0" applyNumberFormat="1" applyFont="1" applyFill="1" applyBorder="1" applyAlignment="1">
      <alignment vertical="center"/>
    </xf>
    <xf numFmtId="3" fontId="31" fillId="23" borderId="1" xfId="0" applyNumberFormat="1" applyFont="1" applyFill="1" applyBorder="1" applyAlignment="1">
      <alignment vertical="center"/>
    </xf>
    <xf numFmtId="0" fontId="29" fillId="24" borderId="1" xfId="0" applyFont="1" applyFill="1" applyBorder="1" applyProtection="1">
      <protection locked="0"/>
    </xf>
    <xf numFmtId="3" fontId="29" fillId="24" borderId="1" xfId="0" applyNumberFormat="1" applyFont="1" applyFill="1" applyBorder="1" applyProtection="1">
      <protection locked="0"/>
    </xf>
    <xf numFmtId="0" fontId="30" fillId="24" borderId="1" xfId="0" applyFont="1" applyFill="1" applyBorder="1" applyAlignment="1" applyProtection="1">
      <alignment horizontal="center" vertical="center" wrapText="1"/>
      <protection locked="0"/>
    </xf>
    <xf numFmtId="3" fontId="30" fillId="24" borderId="1" xfId="0" applyNumberFormat="1" applyFont="1" applyFill="1" applyBorder="1" applyAlignment="1" applyProtection="1">
      <alignment horizontal="center" vertical="center" wrapText="1"/>
      <protection locked="0"/>
    </xf>
    <xf numFmtId="3" fontId="40" fillId="24" borderId="1" xfId="0" applyNumberFormat="1" applyFont="1" applyFill="1" applyBorder="1" applyAlignment="1">
      <alignment horizontal="center" vertical="center" wrapText="1"/>
    </xf>
    <xf numFmtId="3" fontId="35" fillId="24" borderId="1" xfId="0" applyNumberFormat="1" applyFont="1" applyFill="1" applyBorder="1" applyAlignment="1" applyProtection="1">
      <alignment horizontal="center" vertical="center" wrapText="1"/>
      <protection locked="0"/>
    </xf>
    <xf numFmtId="3" fontId="36" fillId="24" borderId="1" xfId="0" applyNumberFormat="1" applyFont="1" applyFill="1" applyBorder="1" applyAlignment="1" applyProtection="1">
      <alignment horizontal="center" vertical="center" wrapText="1"/>
      <protection locked="0"/>
    </xf>
    <xf numFmtId="164" fontId="30" fillId="24" borderId="1" xfId="1" applyNumberFormat="1" applyFont="1" applyFill="1" applyBorder="1" applyAlignment="1" applyProtection="1">
      <alignment horizontal="center" vertical="center" wrapText="1"/>
      <protection locked="0"/>
    </xf>
    <xf numFmtId="164" fontId="41" fillId="0" borderId="0" xfId="1" applyNumberFormat="1" applyFont="1" applyAlignment="1">
      <alignment horizontal="center" vertical="center" wrapText="1"/>
    </xf>
    <xf numFmtId="43" fontId="0" fillId="0" borderId="0" xfId="1" applyFont="1"/>
    <xf numFmtId="3" fontId="12" fillId="5" borderId="1" xfId="0" applyNumberFormat="1" applyFont="1" applyFill="1" applyBorder="1"/>
    <xf numFmtId="3" fontId="23" fillId="25" borderId="1" xfId="0" applyNumberFormat="1" applyFont="1" applyFill="1" applyBorder="1" applyAlignment="1">
      <alignment vertical="center"/>
    </xf>
    <xf numFmtId="3" fontId="31" fillId="25" borderId="1" xfId="0" applyNumberFormat="1" applyFont="1" applyFill="1" applyBorder="1" applyAlignment="1">
      <alignment vertical="center"/>
    </xf>
    <xf numFmtId="0" fontId="38" fillId="25" borderId="4" xfId="0" applyFont="1" applyFill="1" applyBorder="1" applyAlignment="1" applyProtection="1">
      <alignment horizontal="center" vertical="center" wrapText="1"/>
      <protection locked="0"/>
    </xf>
    <xf numFmtId="3" fontId="23" fillId="13" borderId="5" xfId="0" applyNumberFormat="1" applyFont="1" applyFill="1" applyBorder="1"/>
    <xf numFmtId="3" fontId="23" fillId="5" borderId="5" xfId="0" applyNumberFormat="1" applyFont="1" applyFill="1" applyBorder="1"/>
    <xf numFmtId="3" fontId="32" fillId="0" borderId="5" xfId="0" applyNumberFormat="1" applyFont="1" applyBorder="1" applyAlignment="1">
      <alignment vertical="center"/>
    </xf>
    <xf numFmtId="3" fontId="0" fillId="13" borderId="8" xfId="0" applyNumberFormat="1" applyFill="1" applyBorder="1"/>
    <xf numFmtId="3" fontId="13" fillId="0" borderId="8" xfId="0" applyNumberFormat="1" applyFont="1" applyBorder="1"/>
    <xf numFmtId="3" fontId="17" fillId="0" borderId="8" xfId="0" applyNumberFormat="1" applyFont="1" applyBorder="1"/>
    <xf numFmtId="3" fontId="19" fillId="0" borderId="8" xfId="0" applyNumberFormat="1" applyFont="1" applyBorder="1"/>
    <xf numFmtId="3" fontId="0" fillId="5" borderId="5" xfId="0" applyNumberFormat="1" applyFill="1" applyBorder="1"/>
    <xf numFmtId="3" fontId="0" fillId="5" borderId="8" xfId="0" applyNumberFormat="1" applyFill="1" applyBorder="1"/>
    <xf numFmtId="3" fontId="29" fillId="25" borderId="9" xfId="0" applyNumberFormat="1" applyFont="1" applyFill="1" applyBorder="1" applyAlignment="1" applyProtection="1">
      <alignment horizontal="center" vertical="center" wrapText="1"/>
      <protection locked="0"/>
    </xf>
    <xf numFmtId="3" fontId="11" fillId="5" borderId="5" xfId="0" applyNumberFormat="1" applyFont="1" applyFill="1" applyBorder="1"/>
    <xf numFmtId="0" fontId="30" fillId="26" borderId="1" xfId="0" applyFont="1" applyFill="1" applyBorder="1" applyAlignment="1" applyProtection="1">
      <alignment horizontal="center" vertical="center" wrapText="1"/>
      <protection locked="0"/>
    </xf>
    <xf numFmtId="3" fontId="30" fillId="26" borderId="1" xfId="0" applyNumberFormat="1" applyFont="1" applyFill="1" applyBorder="1" applyAlignment="1" applyProtection="1">
      <alignment horizontal="center" vertical="center" wrapText="1"/>
      <protection locked="0"/>
    </xf>
    <xf numFmtId="3" fontId="29" fillId="26" borderId="9" xfId="0" applyNumberFormat="1" applyFont="1" applyFill="1" applyBorder="1" applyAlignment="1" applyProtection="1">
      <alignment horizontal="center" vertical="center" wrapText="1"/>
      <protection locked="0"/>
    </xf>
    <xf numFmtId="0" fontId="38" fillId="26" borderId="4" xfId="0" applyFont="1" applyFill="1" applyBorder="1" applyAlignment="1" applyProtection="1">
      <alignment horizontal="center" vertical="center" wrapText="1"/>
      <protection locked="0"/>
    </xf>
    <xf numFmtId="164" fontId="30" fillId="26" borderId="1" xfId="1" applyNumberFormat="1" applyFont="1" applyFill="1" applyBorder="1" applyAlignment="1" applyProtection="1">
      <alignment horizontal="center" vertical="center" wrapText="1"/>
      <protection locked="0"/>
    </xf>
    <xf numFmtId="3" fontId="37" fillId="0" borderId="1" xfId="1" applyNumberFormat="1" applyFont="1" applyFill="1" applyBorder="1"/>
    <xf numFmtId="3" fontId="10" fillId="5" borderId="1" xfId="0" applyNumberFormat="1" applyFont="1" applyFill="1" applyBorder="1"/>
    <xf numFmtId="0" fontId="0" fillId="5" borderId="1" xfId="0" applyFill="1" applyBorder="1"/>
    <xf numFmtId="0" fontId="9" fillId="5" borderId="1" xfId="0" applyFont="1" applyFill="1" applyBorder="1"/>
    <xf numFmtId="3" fontId="8" fillId="5" borderId="1" xfId="0" applyNumberFormat="1" applyFont="1" applyFill="1" applyBorder="1"/>
    <xf numFmtId="49" fontId="7" fillId="0" borderId="3" xfId="0" applyNumberFormat="1" applyFont="1" applyBorder="1"/>
    <xf numFmtId="3" fontId="6" fillId="5" borderId="1" xfId="0" applyNumberFormat="1" applyFont="1" applyFill="1" applyBorder="1"/>
    <xf numFmtId="0" fontId="29" fillId="25" borderId="4" xfId="0" applyFont="1" applyFill="1" applyBorder="1" applyAlignment="1" applyProtection="1">
      <alignment horizontal="center" vertical="center" wrapText="1"/>
      <protection locked="0"/>
    </xf>
    <xf numFmtId="0" fontId="29" fillId="26" borderId="4" xfId="0" applyFont="1" applyFill="1" applyBorder="1" applyAlignment="1" applyProtection="1">
      <alignment horizontal="center" vertical="center" wrapText="1"/>
      <protection locked="0"/>
    </xf>
    <xf numFmtId="0" fontId="44" fillId="5" borderId="1" xfId="0" applyFont="1" applyFill="1" applyBorder="1" applyProtection="1">
      <protection locked="0"/>
    </xf>
    <xf numFmtId="0" fontId="5" fillId="5" borderId="1" xfId="0" applyFont="1" applyFill="1" applyBorder="1" applyProtection="1">
      <protection locked="0"/>
    </xf>
    <xf numFmtId="3" fontId="32" fillId="0" borderId="1" xfId="0" applyNumberFormat="1" applyFont="1" applyBorder="1" applyProtection="1">
      <protection locked="0"/>
    </xf>
    <xf numFmtId="0" fontId="45" fillId="7" borderId="1" xfId="0" applyFont="1" applyFill="1" applyBorder="1" applyProtection="1">
      <protection locked="0"/>
    </xf>
    <xf numFmtId="3" fontId="31" fillId="7" borderId="1" xfId="0" applyNumberFormat="1" applyFont="1" applyFill="1" applyBorder="1" applyProtection="1">
      <protection locked="0"/>
    </xf>
    <xf numFmtId="164" fontId="32" fillId="0" borderId="1" xfId="1" applyNumberFormat="1" applyFont="1" applyBorder="1" applyProtection="1">
      <protection locked="0"/>
    </xf>
    <xf numFmtId="0" fontId="31" fillId="7" borderId="1" xfId="0" applyFont="1" applyFill="1" applyBorder="1" applyAlignment="1" applyProtection="1">
      <alignment horizontal="left" vertical="center"/>
      <protection locked="0"/>
    </xf>
    <xf numFmtId="0" fontId="44" fillId="0" borderId="1" xfId="0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32" fillId="0" borderId="1" xfId="0" applyFont="1" applyBorder="1" applyProtection="1">
      <protection locked="0"/>
    </xf>
    <xf numFmtId="3" fontId="45" fillId="7" borderId="1" xfId="0" applyNumberFormat="1" applyFont="1" applyFill="1" applyBorder="1" applyProtection="1">
      <protection locked="0"/>
    </xf>
    <xf numFmtId="0" fontId="45" fillId="24" borderId="1" xfId="0" applyFont="1" applyFill="1" applyBorder="1" applyProtection="1">
      <protection locked="0"/>
    </xf>
    <xf numFmtId="3" fontId="45" fillId="24" borderId="1" xfId="0" applyNumberFormat="1" applyFont="1" applyFill="1" applyBorder="1" applyProtection="1">
      <protection locked="0"/>
    </xf>
    <xf numFmtId="3" fontId="32" fillId="0" borderId="1" xfId="1" applyNumberFormat="1" applyFont="1" applyBorder="1" applyProtection="1">
      <protection locked="0"/>
    </xf>
    <xf numFmtId="6" fontId="0" fillId="0" borderId="0" xfId="0" applyNumberFormat="1"/>
    <xf numFmtId="3" fontId="19" fillId="4" borderId="8" xfId="0" applyNumberFormat="1" applyFont="1" applyFill="1" applyBorder="1"/>
    <xf numFmtId="0" fontId="29" fillId="25" borderId="3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4" fillId="0" borderId="3" xfId="0" applyNumberFormat="1" applyFont="1" applyBorder="1"/>
    <xf numFmtId="0" fontId="3" fillId="5" borderId="1" xfId="0" applyFont="1" applyFill="1" applyBorder="1"/>
    <xf numFmtId="49" fontId="3" fillId="0" borderId="3" xfId="0" applyNumberFormat="1" applyFont="1" applyBorder="1"/>
    <xf numFmtId="0" fontId="3" fillId="5" borderId="1" xfId="0" applyFont="1" applyFill="1" applyBorder="1" applyProtection="1">
      <protection locked="0"/>
    </xf>
    <xf numFmtId="0" fontId="2" fillId="5" borderId="1" xfId="0" applyFont="1" applyFill="1" applyBorder="1" applyProtection="1">
      <protection locked="0"/>
    </xf>
    <xf numFmtId="5" fontId="37" fillId="0" borderId="0" xfId="0" applyNumberFormat="1" applyFont="1"/>
    <xf numFmtId="165" fontId="37" fillId="0" borderId="0" xfId="0" applyNumberFormat="1" applyFont="1"/>
    <xf numFmtId="165" fontId="0" fillId="0" borderId="0" xfId="0" applyNumberFormat="1"/>
    <xf numFmtId="5" fontId="0" fillId="0" borderId="0" xfId="0" applyNumberFormat="1"/>
    <xf numFmtId="0" fontId="23" fillId="4" borderId="0" xfId="0" applyFont="1" applyFill="1"/>
    <xf numFmtId="165" fontId="31" fillId="4" borderId="0" xfId="0" applyNumberFormat="1" applyFont="1" applyFill="1"/>
    <xf numFmtId="165" fontId="23" fillId="4" borderId="0" xfId="0" applyNumberFormat="1" applyFont="1" applyFill="1"/>
    <xf numFmtId="5" fontId="23" fillId="4" borderId="0" xfId="0" applyNumberFormat="1" applyFont="1" applyFill="1"/>
    <xf numFmtId="0" fontId="23" fillId="0" borderId="0" xfId="0" applyFont="1"/>
    <xf numFmtId="165" fontId="23" fillId="0" borderId="0" xfId="0" applyNumberFormat="1" applyFont="1"/>
    <xf numFmtId="0" fontId="1" fillId="0" borderId="0" xfId="0" applyFont="1"/>
    <xf numFmtId="0" fontId="1" fillId="0" borderId="1" xfId="0" applyFont="1" applyBorder="1"/>
    <xf numFmtId="3" fontId="1" fillId="0" borderId="1" xfId="0" applyNumberFormat="1" applyFont="1" applyBorder="1"/>
    <xf numFmtId="3" fontId="1" fillId="0" borderId="5" xfId="0" applyNumberFormat="1" applyFont="1" applyBorder="1"/>
    <xf numFmtId="0" fontId="0" fillId="0" borderId="1" xfId="0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right" vertical="center"/>
    </xf>
    <xf numFmtId="0" fontId="23" fillId="4" borderId="6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right" vertical="center"/>
    </xf>
    <xf numFmtId="0" fontId="31" fillId="4" borderId="1" xfId="0" applyFont="1" applyFill="1" applyBorder="1" applyAlignment="1">
      <alignment horizontal="right" vertical="center"/>
    </xf>
    <xf numFmtId="49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3" fontId="23" fillId="3" borderId="8" xfId="0" applyNumberFormat="1" applyFont="1" applyFill="1" applyBorder="1" applyAlignment="1">
      <alignment horizontal="center" vertical="center" wrapText="1"/>
    </xf>
    <xf numFmtId="3" fontId="23" fillId="3" borderId="9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3" fontId="23" fillId="3" borderId="3" xfId="0" applyNumberFormat="1" applyFont="1" applyFill="1" applyBorder="1" applyAlignment="1">
      <alignment horizontal="center" vertical="center"/>
    </xf>
    <xf numFmtId="3" fontId="23" fillId="3" borderId="4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164" fontId="23" fillId="3" borderId="1" xfId="1" applyNumberFormat="1" applyFont="1" applyFill="1" applyBorder="1" applyAlignment="1">
      <alignment horizontal="center" vertical="center"/>
    </xf>
    <xf numFmtId="3" fontId="23" fillId="3" borderId="5" xfId="0" applyNumberFormat="1" applyFont="1" applyFill="1" applyBorder="1" applyAlignment="1">
      <alignment horizontal="center" vertical="center"/>
    </xf>
    <xf numFmtId="3" fontId="23" fillId="3" borderId="6" xfId="0" applyNumberFormat="1" applyFont="1" applyFill="1" applyBorder="1" applyAlignment="1">
      <alignment horizontal="center" vertical="center"/>
    </xf>
    <xf numFmtId="3" fontId="23" fillId="3" borderId="7" xfId="0" applyNumberFormat="1" applyFont="1" applyFill="1" applyBorder="1" applyAlignment="1">
      <alignment horizontal="center" vertical="center"/>
    </xf>
    <xf numFmtId="49" fontId="23" fillId="3" borderId="3" xfId="0" applyNumberFormat="1" applyFont="1" applyFill="1" applyBorder="1" applyAlignment="1">
      <alignment horizontal="center" vertical="center"/>
    </xf>
    <xf numFmtId="49" fontId="23" fillId="3" borderId="4" xfId="0" applyNumberFormat="1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49" fontId="0" fillId="5" borderId="3" xfId="0" applyNumberForma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26" fillId="0" borderId="10" xfId="0" applyFont="1" applyBorder="1" applyAlignment="1" applyProtection="1">
      <alignment horizontal="left" vertical="center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0" fontId="24" fillId="9" borderId="0" xfId="0" applyFont="1" applyFill="1" applyAlignment="1">
      <alignment horizontal="center" vertical="center"/>
    </xf>
    <xf numFmtId="0" fontId="23" fillId="8" borderId="3" xfId="0" applyFont="1" applyFill="1" applyBorder="1" applyAlignment="1">
      <alignment horizontal="center" vertical="center"/>
    </xf>
    <xf numFmtId="0" fontId="23" fillId="8" borderId="4" xfId="0" applyFont="1" applyFill="1" applyBorder="1" applyAlignment="1">
      <alignment horizontal="center" vertical="center"/>
    </xf>
    <xf numFmtId="49" fontId="23" fillId="8" borderId="3" xfId="0" applyNumberFormat="1" applyFont="1" applyFill="1" applyBorder="1" applyAlignment="1">
      <alignment horizontal="center" vertical="center"/>
    </xf>
    <xf numFmtId="49" fontId="23" fillId="8" borderId="4" xfId="0" applyNumberFormat="1" applyFont="1" applyFill="1" applyBorder="1" applyAlignment="1">
      <alignment horizontal="center" vertical="center"/>
    </xf>
    <xf numFmtId="3" fontId="23" fillId="8" borderId="8" xfId="0" applyNumberFormat="1" applyFont="1" applyFill="1" applyBorder="1" applyAlignment="1">
      <alignment horizontal="center" vertical="center" wrapText="1"/>
    </xf>
    <xf numFmtId="3" fontId="23" fillId="8" borderId="9" xfId="0" applyNumberFormat="1" applyFont="1" applyFill="1" applyBorder="1" applyAlignment="1">
      <alignment horizontal="center" vertical="center" wrapText="1"/>
    </xf>
    <xf numFmtId="3" fontId="23" fillId="8" borderId="5" xfId="0" applyNumberFormat="1" applyFont="1" applyFill="1" applyBorder="1" applyAlignment="1">
      <alignment horizontal="center" vertical="center"/>
    </xf>
    <xf numFmtId="3" fontId="23" fillId="8" borderId="6" xfId="0" applyNumberFormat="1" applyFont="1" applyFill="1" applyBorder="1" applyAlignment="1">
      <alignment horizontal="center" vertical="center"/>
    </xf>
    <xf numFmtId="3" fontId="23" fillId="8" borderId="7" xfId="0" applyNumberFormat="1" applyFont="1" applyFill="1" applyBorder="1" applyAlignment="1">
      <alignment horizontal="center" vertical="center"/>
    </xf>
    <xf numFmtId="164" fontId="23" fillId="8" borderId="1" xfId="1" applyNumberFormat="1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 wrapText="1"/>
    </xf>
    <xf numFmtId="0" fontId="23" fillId="8" borderId="5" xfId="0" applyFont="1" applyFill="1" applyBorder="1" applyAlignment="1">
      <alignment horizontal="right" vertical="center"/>
    </xf>
    <xf numFmtId="0" fontId="23" fillId="8" borderId="6" xfId="0" applyFont="1" applyFill="1" applyBorder="1" applyAlignment="1">
      <alignment horizontal="right" vertical="center"/>
    </xf>
    <xf numFmtId="0" fontId="23" fillId="8" borderId="7" xfId="0" applyFont="1" applyFill="1" applyBorder="1" applyAlignment="1">
      <alignment horizontal="right" vertical="center"/>
    </xf>
    <xf numFmtId="0" fontId="24" fillId="10" borderId="0" xfId="0" applyFont="1" applyFill="1" applyAlignment="1">
      <alignment horizontal="center" vertical="center"/>
    </xf>
    <xf numFmtId="0" fontId="23" fillId="11" borderId="3" xfId="0" applyFont="1" applyFill="1" applyBorder="1" applyAlignment="1">
      <alignment horizontal="center" vertical="center"/>
    </xf>
    <xf numFmtId="0" fontId="23" fillId="11" borderId="4" xfId="0" applyFont="1" applyFill="1" applyBorder="1" applyAlignment="1">
      <alignment horizontal="center" vertical="center"/>
    </xf>
    <xf numFmtId="49" fontId="23" fillId="11" borderId="3" xfId="0" applyNumberFormat="1" applyFont="1" applyFill="1" applyBorder="1" applyAlignment="1">
      <alignment horizontal="center" vertical="center"/>
    </xf>
    <xf numFmtId="49" fontId="23" fillId="11" borderId="4" xfId="0" applyNumberFormat="1" applyFont="1" applyFill="1" applyBorder="1" applyAlignment="1">
      <alignment horizontal="center" vertical="center"/>
    </xf>
    <xf numFmtId="3" fontId="23" fillId="11" borderId="3" xfId="0" applyNumberFormat="1" applyFont="1" applyFill="1" applyBorder="1" applyAlignment="1">
      <alignment horizontal="center" vertical="center" wrapText="1"/>
    </xf>
    <xf numFmtId="3" fontId="23" fillId="11" borderId="4" xfId="0" applyNumberFormat="1" applyFont="1" applyFill="1" applyBorder="1" applyAlignment="1">
      <alignment horizontal="center" vertical="center" wrapText="1"/>
    </xf>
    <xf numFmtId="3" fontId="23" fillId="11" borderId="5" xfId="0" applyNumberFormat="1" applyFont="1" applyFill="1" applyBorder="1" applyAlignment="1">
      <alignment horizontal="center" vertical="center"/>
    </xf>
    <xf numFmtId="3" fontId="23" fillId="11" borderId="6" xfId="0" applyNumberFormat="1" applyFont="1" applyFill="1" applyBorder="1" applyAlignment="1">
      <alignment horizontal="center" vertical="center"/>
    </xf>
    <xf numFmtId="3" fontId="23" fillId="11" borderId="7" xfId="0" applyNumberFormat="1" applyFont="1" applyFill="1" applyBorder="1" applyAlignment="1">
      <alignment horizontal="center" vertical="center"/>
    </xf>
    <xf numFmtId="3" fontId="23" fillId="11" borderId="8" xfId="0" applyNumberFormat="1" applyFont="1" applyFill="1" applyBorder="1" applyAlignment="1">
      <alignment horizontal="center" vertical="center" wrapText="1"/>
    </xf>
    <xf numFmtId="3" fontId="23" fillId="11" borderId="9" xfId="0" applyNumberFormat="1" applyFont="1" applyFill="1" applyBorder="1" applyAlignment="1">
      <alignment horizontal="center" vertical="center" wrapText="1"/>
    </xf>
    <xf numFmtId="164" fontId="31" fillId="11" borderId="1" xfId="1" applyNumberFormat="1" applyFont="1" applyFill="1" applyBorder="1" applyAlignment="1">
      <alignment horizontal="center" vertical="center"/>
    </xf>
    <xf numFmtId="0" fontId="23" fillId="11" borderId="1" xfId="0" applyFont="1" applyFill="1" applyBorder="1" applyAlignment="1">
      <alignment horizontal="center" vertical="center" wrapText="1"/>
    </xf>
    <xf numFmtId="0" fontId="23" fillId="11" borderId="5" xfId="0" applyFont="1" applyFill="1" applyBorder="1" applyAlignment="1">
      <alignment horizontal="right" vertical="center"/>
    </xf>
    <xf numFmtId="0" fontId="23" fillId="11" borderId="6" xfId="0" applyFont="1" applyFill="1" applyBorder="1" applyAlignment="1">
      <alignment horizontal="right" vertical="center"/>
    </xf>
    <xf numFmtId="0" fontId="23" fillId="11" borderId="7" xfId="0" applyFont="1" applyFill="1" applyBorder="1" applyAlignment="1">
      <alignment horizontal="right" vertical="center"/>
    </xf>
    <xf numFmtId="0" fontId="23" fillId="12" borderId="5" xfId="0" applyFont="1" applyFill="1" applyBorder="1" applyAlignment="1">
      <alignment horizontal="right" vertical="center"/>
    </xf>
    <xf numFmtId="0" fontId="23" fillId="12" borderId="6" xfId="0" applyFont="1" applyFill="1" applyBorder="1" applyAlignment="1">
      <alignment horizontal="right" vertical="center"/>
    </xf>
    <xf numFmtId="0" fontId="23" fillId="12" borderId="7" xfId="0" applyFont="1" applyFill="1" applyBorder="1" applyAlignment="1">
      <alignment horizontal="right" vertical="center"/>
    </xf>
    <xf numFmtId="0" fontId="31" fillId="12" borderId="1" xfId="0" applyFont="1" applyFill="1" applyBorder="1" applyAlignment="1">
      <alignment horizontal="right" vertical="center"/>
    </xf>
    <xf numFmtId="0" fontId="27" fillId="0" borderId="8" xfId="0" applyFont="1" applyBorder="1" applyAlignment="1" applyProtection="1">
      <alignment horizontal="center" vertical="center"/>
      <protection locked="0"/>
    </xf>
    <xf numFmtId="0" fontId="27" fillId="0" borderId="11" xfId="0" applyFont="1" applyBorder="1" applyAlignment="1" applyProtection="1">
      <alignment horizontal="center" vertical="center"/>
      <protection locked="0"/>
    </xf>
    <xf numFmtId="0" fontId="27" fillId="0" borderId="12" xfId="0" applyFont="1" applyBorder="1" applyAlignment="1" applyProtection="1">
      <alignment horizontal="center" vertical="center"/>
      <protection locked="0"/>
    </xf>
    <xf numFmtId="0" fontId="27" fillId="0" borderId="13" xfId="0" applyFont="1" applyBorder="1" applyAlignment="1" applyProtection="1">
      <alignment horizontal="center" vertical="center"/>
      <protection locked="0"/>
    </xf>
    <xf numFmtId="0" fontId="27" fillId="0" borderId="9" xfId="0" applyFont="1" applyBorder="1" applyAlignment="1" applyProtection="1">
      <alignment horizontal="center" vertical="center"/>
      <protection locked="0"/>
    </xf>
    <xf numFmtId="0" fontId="27" fillId="0" borderId="14" xfId="0" applyFont="1" applyBorder="1" applyAlignment="1" applyProtection="1">
      <alignment horizontal="center" vertical="center"/>
      <protection locked="0"/>
    </xf>
    <xf numFmtId="0" fontId="24" fillId="16" borderId="0" xfId="0" applyFont="1" applyFill="1" applyAlignment="1">
      <alignment horizontal="center" vertical="center"/>
    </xf>
    <xf numFmtId="3" fontId="23" fillId="14" borderId="1" xfId="0" applyNumberFormat="1" applyFont="1" applyFill="1" applyBorder="1" applyAlignment="1">
      <alignment horizontal="center" vertical="center" wrapText="1"/>
    </xf>
    <xf numFmtId="0" fontId="23" fillId="14" borderId="3" xfId="0" applyFont="1" applyFill="1" applyBorder="1" applyAlignment="1">
      <alignment horizontal="center" vertical="center"/>
    </xf>
    <xf numFmtId="0" fontId="23" fillId="14" borderId="4" xfId="0" applyFont="1" applyFill="1" applyBorder="1" applyAlignment="1">
      <alignment horizontal="center" vertical="center"/>
    </xf>
    <xf numFmtId="49" fontId="23" fillId="14" borderId="3" xfId="0" applyNumberFormat="1" applyFont="1" applyFill="1" applyBorder="1" applyAlignment="1">
      <alignment horizontal="center" vertical="center"/>
    </xf>
    <xf numFmtId="49" fontId="23" fillId="14" borderId="4" xfId="0" applyNumberFormat="1" applyFont="1" applyFill="1" applyBorder="1" applyAlignment="1">
      <alignment horizontal="center" vertical="center"/>
    </xf>
    <xf numFmtId="3" fontId="23" fillId="14" borderId="5" xfId="0" applyNumberFormat="1" applyFont="1" applyFill="1" applyBorder="1" applyAlignment="1">
      <alignment horizontal="center" vertical="center"/>
    </xf>
    <xf numFmtId="3" fontId="23" fillId="14" borderId="6" xfId="0" applyNumberFormat="1" applyFont="1" applyFill="1" applyBorder="1" applyAlignment="1">
      <alignment horizontal="center" vertical="center"/>
    </xf>
    <xf numFmtId="3" fontId="23" fillId="14" borderId="7" xfId="0" applyNumberFormat="1" applyFont="1" applyFill="1" applyBorder="1" applyAlignment="1">
      <alignment horizontal="center" vertical="center"/>
    </xf>
    <xf numFmtId="0" fontId="23" fillId="14" borderId="5" xfId="0" applyFont="1" applyFill="1" applyBorder="1" applyAlignment="1">
      <alignment horizontal="right" vertical="center"/>
    </xf>
    <xf numFmtId="0" fontId="23" fillId="14" borderId="6" xfId="0" applyFont="1" applyFill="1" applyBorder="1" applyAlignment="1">
      <alignment horizontal="right" vertical="center"/>
    </xf>
    <xf numFmtId="0" fontId="23" fillId="14" borderId="7" xfId="0" applyFont="1" applyFill="1" applyBorder="1" applyAlignment="1">
      <alignment horizontal="right" vertical="center"/>
    </xf>
    <xf numFmtId="0" fontId="23" fillId="15" borderId="5" xfId="0" applyFont="1" applyFill="1" applyBorder="1" applyAlignment="1">
      <alignment horizontal="right" vertical="center"/>
    </xf>
    <xf numFmtId="0" fontId="23" fillId="15" borderId="6" xfId="0" applyFont="1" applyFill="1" applyBorder="1" applyAlignment="1">
      <alignment horizontal="right" vertical="center"/>
    </xf>
    <xf numFmtId="0" fontId="23" fillId="15" borderId="7" xfId="0" applyFont="1" applyFill="1" applyBorder="1" applyAlignment="1">
      <alignment horizontal="right" vertical="center"/>
    </xf>
    <xf numFmtId="0" fontId="31" fillId="15" borderId="1" xfId="0" applyFont="1" applyFill="1" applyBorder="1" applyAlignment="1">
      <alignment horizontal="right" vertical="center"/>
    </xf>
    <xf numFmtId="0" fontId="31" fillId="17" borderId="1" xfId="0" applyFont="1" applyFill="1" applyBorder="1" applyAlignment="1">
      <alignment horizontal="right" vertical="center"/>
    </xf>
    <xf numFmtId="0" fontId="23" fillId="17" borderId="5" xfId="0" applyFont="1" applyFill="1" applyBorder="1" applyAlignment="1">
      <alignment horizontal="right" vertical="center"/>
    </xf>
    <xf numFmtId="0" fontId="23" fillId="17" borderId="6" xfId="0" applyFont="1" applyFill="1" applyBorder="1" applyAlignment="1">
      <alignment horizontal="right" vertical="center"/>
    </xf>
    <xf numFmtId="0" fontId="23" fillId="17" borderId="7" xfId="0" applyFont="1" applyFill="1" applyBorder="1" applyAlignment="1">
      <alignment horizontal="right" vertical="center"/>
    </xf>
    <xf numFmtId="0" fontId="23" fillId="19" borderId="5" xfId="0" applyFont="1" applyFill="1" applyBorder="1" applyAlignment="1">
      <alignment horizontal="right" vertical="center"/>
    </xf>
    <xf numFmtId="0" fontId="23" fillId="19" borderId="6" xfId="0" applyFont="1" applyFill="1" applyBorder="1" applyAlignment="1">
      <alignment horizontal="right" vertical="center"/>
    </xf>
    <xf numFmtId="0" fontId="23" fillId="19" borderId="7" xfId="0" applyFont="1" applyFill="1" applyBorder="1" applyAlignment="1">
      <alignment horizontal="right" vertical="center"/>
    </xf>
    <xf numFmtId="0" fontId="24" fillId="18" borderId="0" xfId="0" applyFont="1" applyFill="1" applyAlignment="1">
      <alignment horizontal="center" vertical="center"/>
    </xf>
    <xf numFmtId="0" fontId="29" fillId="17" borderId="3" xfId="0" applyFont="1" applyFill="1" applyBorder="1" applyAlignment="1" applyProtection="1">
      <alignment horizontal="center" vertical="center"/>
      <protection locked="0"/>
    </xf>
    <xf numFmtId="0" fontId="29" fillId="17" borderId="4" xfId="0" applyFont="1" applyFill="1" applyBorder="1" applyAlignment="1" applyProtection="1">
      <alignment horizontal="center" vertical="center"/>
      <protection locked="0"/>
    </xf>
    <xf numFmtId="0" fontId="29" fillId="17" borderId="3" xfId="0" applyFont="1" applyFill="1" applyBorder="1" applyAlignment="1" applyProtection="1">
      <alignment horizontal="left" vertical="center"/>
      <protection locked="0"/>
    </xf>
    <xf numFmtId="0" fontId="29" fillId="17" borderId="4" xfId="0" applyFont="1" applyFill="1" applyBorder="1" applyAlignment="1" applyProtection="1">
      <alignment horizontal="left" vertical="center"/>
      <protection locked="0"/>
    </xf>
    <xf numFmtId="0" fontId="29" fillId="17" borderId="3" xfId="0" applyFont="1" applyFill="1" applyBorder="1" applyAlignment="1" applyProtection="1">
      <alignment horizontal="center" vertical="center" wrapText="1"/>
      <protection locked="0"/>
    </xf>
    <xf numFmtId="0" fontId="29" fillId="17" borderId="4" xfId="0" applyFont="1" applyFill="1" applyBorder="1" applyAlignment="1" applyProtection="1">
      <alignment horizontal="center" vertical="center" wrapText="1"/>
      <protection locked="0"/>
    </xf>
    <xf numFmtId="3" fontId="29" fillId="17" borderId="5" xfId="0" applyNumberFormat="1" applyFont="1" applyFill="1" applyBorder="1" applyAlignment="1" applyProtection="1">
      <alignment horizontal="center" vertical="center"/>
      <protection locked="0"/>
    </xf>
    <xf numFmtId="3" fontId="29" fillId="17" borderId="6" xfId="0" applyNumberFormat="1" applyFont="1" applyFill="1" applyBorder="1" applyAlignment="1" applyProtection="1">
      <alignment horizontal="center" vertical="center"/>
      <protection locked="0"/>
    </xf>
    <xf numFmtId="3" fontId="29" fillId="17" borderId="7" xfId="0" applyNumberFormat="1" applyFont="1" applyFill="1" applyBorder="1" applyAlignment="1" applyProtection="1">
      <alignment horizontal="center" vertical="center"/>
      <protection locked="0"/>
    </xf>
    <xf numFmtId="164" fontId="30" fillId="17" borderId="1" xfId="1" applyNumberFormat="1" applyFont="1" applyFill="1" applyBorder="1" applyAlignment="1" applyProtection="1">
      <alignment horizontal="center" vertical="center"/>
      <protection locked="0"/>
    </xf>
    <xf numFmtId="0" fontId="29" fillId="17" borderId="1" xfId="0" applyFont="1" applyFill="1" applyBorder="1" applyAlignment="1" applyProtection="1">
      <alignment horizontal="center" vertical="center" wrapText="1"/>
      <protection locked="0"/>
    </xf>
    <xf numFmtId="0" fontId="24" fillId="7" borderId="0" xfId="0" applyFont="1" applyFill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9" fillId="0" borderId="16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9" fillId="0" borderId="16" xfId="0" applyFont="1" applyBorder="1" applyAlignment="1">
      <alignment horizontal="left" vertical="center"/>
    </xf>
    <xf numFmtId="0" fontId="39" fillId="0" borderId="0" xfId="0" applyFont="1" applyAlignment="1">
      <alignment horizontal="center" vertical="center"/>
    </xf>
    <xf numFmtId="0" fontId="39" fillId="0" borderId="15" xfId="0" applyFont="1" applyBorder="1" applyAlignment="1">
      <alignment horizontal="left" vertical="center"/>
    </xf>
    <xf numFmtId="0" fontId="23" fillId="10" borderId="5" xfId="0" applyFont="1" applyFill="1" applyBorder="1" applyAlignment="1">
      <alignment horizontal="right" vertical="center"/>
    </xf>
    <xf numFmtId="0" fontId="23" fillId="10" borderId="6" xfId="0" applyFont="1" applyFill="1" applyBorder="1" applyAlignment="1">
      <alignment horizontal="right" vertical="center"/>
    </xf>
    <xf numFmtId="0" fontId="23" fillId="10" borderId="7" xfId="0" applyFont="1" applyFill="1" applyBorder="1" applyAlignment="1">
      <alignment horizontal="right" vertical="center"/>
    </xf>
    <xf numFmtId="0" fontId="24" fillId="21" borderId="0" xfId="0" applyFont="1" applyFill="1" applyAlignment="1">
      <alignment horizontal="center" vertical="center"/>
    </xf>
    <xf numFmtId="0" fontId="29" fillId="10" borderId="3" xfId="0" applyFont="1" applyFill="1" applyBorder="1" applyAlignment="1" applyProtection="1">
      <alignment horizontal="center" vertical="center"/>
      <protection locked="0"/>
    </xf>
    <xf numFmtId="0" fontId="29" fillId="10" borderId="4" xfId="0" applyFont="1" applyFill="1" applyBorder="1" applyAlignment="1" applyProtection="1">
      <alignment horizontal="center" vertical="center"/>
      <protection locked="0"/>
    </xf>
    <xf numFmtId="0" fontId="29" fillId="10" borderId="3" xfId="0" applyFont="1" applyFill="1" applyBorder="1" applyAlignment="1" applyProtection="1">
      <alignment horizontal="left" vertical="center"/>
      <protection locked="0"/>
    </xf>
    <xf numFmtId="0" fontId="29" fillId="10" borderId="4" xfId="0" applyFont="1" applyFill="1" applyBorder="1" applyAlignment="1" applyProtection="1">
      <alignment horizontal="left" vertical="center"/>
      <protection locked="0"/>
    </xf>
    <xf numFmtId="0" fontId="29" fillId="10" borderId="3" xfId="0" applyFont="1" applyFill="1" applyBorder="1" applyAlignment="1" applyProtection="1">
      <alignment horizontal="center" vertical="center" wrapText="1"/>
      <protection locked="0"/>
    </xf>
    <xf numFmtId="0" fontId="29" fillId="10" borderId="4" xfId="0" applyFont="1" applyFill="1" applyBorder="1" applyAlignment="1" applyProtection="1">
      <alignment horizontal="center" vertical="center" wrapText="1"/>
      <protection locked="0"/>
    </xf>
    <xf numFmtId="3" fontId="29" fillId="10" borderId="5" xfId="0" applyNumberFormat="1" applyFont="1" applyFill="1" applyBorder="1" applyAlignment="1" applyProtection="1">
      <alignment horizontal="center" vertical="center"/>
      <protection locked="0"/>
    </xf>
    <xf numFmtId="3" fontId="29" fillId="10" borderId="6" xfId="0" applyNumberFormat="1" applyFont="1" applyFill="1" applyBorder="1" applyAlignment="1" applyProtection="1">
      <alignment horizontal="center" vertical="center"/>
      <protection locked="0"/>
    </xf>
    <xf numFmtId="3" fontId="29" fillId="10" borderId="7" xfId="0" applyNumberFormat="1" applyFont="1" applyFill="1" applyBorder="1" applyAlignment="1" applyProtection="1">
      <alignment horizontal="center" vertical="center"/>
      <protection locked="0"/>
    </xf>
    <xf numFmtId="164" fontId="30" fillId="10" borderId="1" xfId="1" applyNumberFormat="1" applyFont="1" applyFill="1" applyBorder="1" applyAlignment="1" applyProtection="1">
      <alignment horizontal="center" vertical="center"/>
      <protection locked="0"/>
    </xf>
    <xf numFmtId="0" fontId="29" fillId="10" borderId="1" xfId="0" applyFont="1" applyFill="1" applyBorder="1" applyAlignment="1" applyProtection="1">
      <alignment horizontal="center" vertical="center" wrapText="1"/>
      <protection locked="0"/>
    </xf>
    <xf numFmtId="0" fontId="23" fillId="23" borderId="5" xfId="0" applyFont="1" applyFill="1" applyBorder="1" applyAlignment="1">
      <alignment horizontal="right" vertical="center"/>
    </xf>
    <xf numFmtId="0" fontId="23" fillId="23" borderId="6" xfId="0" applyFont="1" applyFill="1" applyBorder="1" applyAlignment="1">
      <alignment horizontal="right" vertical="center"/>
    </xf>
    <xf numFmtId="0" fontId="23" fillId="23" borderId="7" xfId="0" applyFont="1" applyFill="1" applyBorder="1" applyAlignment="1">
      <alignment horizontal="right" vertical="center"/>
    </xf>
    <xf numFmtId="0" fontId="24" fillId="22" borderId="0" xfId="0" applyFont="1" applyFill="1" applyAlignment="1">
      <alignment horizontal="center" vertical="center"/>
    </xf>
    <xf numFmtId="0" fontId="29" fillId="23" borderId="3" xfId="0" applyFont="1" applyFill="1" applyBorder="1" applyAlignment="1" applyProtection="1">
      <alignment horizontal="center" vertical="center"/>
      <protection locked="0"/>
    </xf>
    <xf numFmtId="0" fontId="29" fillId="23" borderId="4" xfId="0" applyFont="1" applyFill="1" applyBorder="1" applyAlignment="1" applyProtection="1">
      <alignment horizontal="center" vertical="center"/>
      <protection locked="0"/>
    </xf>
    <xf numFmtId="0" fontId="29" fillId="23" borderId="3" xfId="0" applyFont="1" applyFill="1" applyBorder="1" applyAlignment="1" applyProtection="1">
      <alignment horizontal="left" vertical="center"/>
      <protection locked="0"/>
    </xf>
    <xf numFmtId="0" fontId="29" fillId="23" borderId="4" xfId="0" applyFont="1" applyFill="1" applyBorder="1" applyAlignment="1" applyProtection="1">
      <alignment horizontal="left" vertical="center"/>
      <protection locked="0"/>
    </xf>
    <xf numFmtId="0" fontId="29" fillId="23" borderId="3" xfId="0" applyFont="1" applyFill="1" applyBorder="1" applyAlignment="1" applyProtection="1">
      <alignment horizontal="center" vertical="center" wrapText="1"/>
      <protection locked="0"/>
    </xf>
    <xf numFmtId="0" fontId="29" fillId="23" borderId="4" xfId="0" applyFont="1" applyFill="1" applyBorder="1" applyAlignment="1" applyProtection="1">
      <alignment horizontal="center" vertical="center" wrapText="1"/>
      <protection locked="0"/>
    </xf>
    <xf numFmtId="3" fontId="29" fillId="23" borderId="5" xfId="0" applyNumberFormat="1" applyFont="1" applyFill="1" applyBorder="1" applyAlignment="1" applyProtection="1">
      <alignment horizontal="center" vertical="center"/>
      <protection locked="0"/>
    </xf>
    <xf numFmtId="3" fontId="29" fillId="23" borderId="6" xfId="0" applyNumberFormat="1" applyFont="1" applyFill="1" applyBorder="1" applyAlignment="1" applyProtection="1">
      <alignment horizontal="center" vertical="center"/>
      <protection locked="0"/>
    </xf>
    <xf numFmtId="3" fontId="29" fillId="23" borderId="7" xfId="0" applyNumberFormat="1" applyFont="1" applyFill="1" applyBorder="1" applyAlignment="1" applyProtection="1">
      <alignment horizontal="center" vertical="center"/>
      <protection locked="0"/>
    </xf>
    <xf numFmtId="164" fontId="30" fillId="23" borderId="1" xfId="1" applyNumberFormat="1" applyFont="1" applyFill="1" applyBorder="1" applyAlignment="1" applyProtection="1">
      <alignment horizontal="center" vertical="center"/>
      <protection locked="0"/>
    </xf>
    <xf numFmtId="0" fontId="29" fillId="23" borderId="1" xfId="0" applyFont="1" applyFill="1" applyBorder="1" applyAlignment="1" applyProtection="1">
      <alignment horizontal="center" vertical="center" wrapText="1"/>
      <protection locked="0"/>
    </xf>
    <xf numFmtId="0" fontId="24" fillId="14" borderId="0" xfId="0" applyFont="1" applyFill="1" applyAlignment="1">
      <alignment horizontal="center" vertical="center"/>
    </xf>
    <xf numFmtId="0" fontId="24" fillId="11" borderId="0" xfId="0" applyFont="1" applyFill="1" applyAlignment="1">
      <alignment horizontal="center" vertical="center"/>
    </xf>
    <xf numFmtId="0" fontId="29" fillId="25" borderId="3" xfId="0" applyFont="1" applyFill="1" applyBorder="1" applyAlignment="1" applyProtection="1">
      <alignment horizontal="center" vertical="center"/>
      <protection locked="0"/>
    </xf>
    <xf numFmtId="0" fontId="29" fillId="25" borderId="4" xfId="0" applyFont="1" applyFill="1" applyBorder="1" applyAlignment="1" applyProtection="1">
      <alignment horizontal="center" vertical="center"/>
      <protection locked="0"/>
    </xf>
    <xf numFmtId="0" fontId="29" fillId="25" borderId="3" xfId="0" applyFont="1" applyFill="1" applyBorder="1" applyAlignment="1" applyProtection="1">
      <alignment horizontal="left" vertical="center"/>
      <protection locked="0"/>
    </xf>
    <xf numFmtId="0" fontId="29" fillId="25" borderId="4" xfId="0" applyFont="1" applyFill="1" applyBorder="1" applyAlignment="1" applyProtection="1">
      <alignment horizontal="left" vertical="center"/>
      <protection locked="0"/>
    </xf>
    <xf numFmtId="0" fontId="29" fillId="25" borderId="3" xfId="0" applyFont="1" applyFill="1" applyBorder="1" applyAlignment="1" applyProtection="1">
      <alignment horizontal="center" vertical="center" wrapText="1"/>
      <protection locked="0"/>
    </xf>
    <xf numFmtId="0" fontId="29" fillId="25" borderId="4" xfId="0" applyFont="1" applyFill="1" applyBorder="1" applyAlignment="1" applyProtection="1">
      <alignment horizontal="center" vertical="center" wrapText="1"/>
      <protection locked="0"/>
    </xf>
    <xf numFmtId="164" fontId="30" fillId="25" borderId="1" xfId="1" applyNumberFormat="1" applyFont="1" applyFill="1" applyBorder="1" applyAlignment="1" applyProtection="1">
      <alignment horizontal="center" vertical="center"/>
      <protection locked="0"/>
    </xf>
    <xf numFmtId="0" fontId="29" fillId="25" borderId="1" xfId="0" applyFont="1" applyFill="1" applyBorder="1" applyAlignment="1" applyProtection="1">
      <alignment horizontal="center" vertical="center" wrapText="1"/>
      <protection locked="0"/>
    </xf>
    <xf numFmtId="3" fontId="29" fillId="25" borderId="5" xfId="0" applyNumberFormat="1" applyFont="1" applyFill="1" applyBorder="1" applyAlignment="1" applyProtection="1">
      <alignment horizontal="center" vertical="center"/>
      <protection locked="0"/>
    </xf>
    <xf numFmtId="3" fontId="29" fillId="25" borderId="6" xfId="0" applyNumberFormat="1" applyFont="1" applyFill="1" applyBorder="1" applyAlignment="1" applyProtection="1">
      <alignment horizontal="center" vertical="center"/>
      <protection locked="0"/>
    </xf>
    <xf numFmtId="3" fontId="29" fillId="25" borderId="7" xfId="0" applyNumberFormat="1" applyFont="1" applyFill="1" applyBorder="1" applyAlignment="1" applyProtection="1">
      <alignment horizontal="center" vertical="center"/>
      <protection locked="0"/>
    </xf>
    <xf numFmtId="0" fontId="23" fillId="25" borderId="5" xfId="0" applyFont="1" applyFill="1" applyBorder="1" applyAlignment="1">
      <alignment horizontal="right" vertical="center"/>
    </xf>
    <xf numFmtId="0" fontId="23" fillId="25" borderId="6" xfId="0" applyFont="1" applyFill="1" applyBorder="1" applyAlignment="1">
      <alignment horizontal="right" vertical="center"/>
    </xf>
    <xf numFmtId="0" fontId="23" fillId="25" borderId="7" xfId="0" applyFont="1" applyFill="1" applyBorder="1" applyAlignment="1">
      <alignment horizontal="right" vertical="center"/>
    </xf>
    <xf numFmtId="0" fontId="32" fillId="0" borderId="8" xfId="0" applyFont="1" applyBorder="1" applyAlignment="1" applyProtection="1">
      <alignment horizontal="center" vertical="center"/>
      <protection locked="0"/>
    </xf>
    <xf numFmtId="0" fontId="32" fillId="0" borderId="11" xfId="0" applyFont="1" applyBorder="1" applyAlignment="1" applyProtection="1">
      <alignment horizontal="center" vertical="center"/>
      <protection locked="0"/>
    </xf>
    <xf numFmtId="0" fontId="32" fillId="0" borderId="12" xfId="0" applyFont="1" applyBorder="1" applyAlignment="1" applyProtection="1">
      <alignment horizontal="center" vertical="center"/>
      <protection locked="0"/>
    </xf>
    <xf numFmtId="0" fontId="32" fillId="0" borderId="13" xfId="0" applyFont="1" applyBorder="1" applyAlignment="1" applyProtection="1">
      <alignment horizontal="center" vertical="center"/>
      <protection locked="0"/>
    </xf>
    <xf numFmtId="0" fontId="32" fillId="0" borderId="9" xfId="0" applyFont="1" applyBorder="1" applyAlignment="1" applyProtection="1">
      <alignment horizontal="center" vertical="center"/>
      <protection locked="0"/>
    </xf>
    <xf numFmtId="0" fontId="32" fillId="0" borderId="14" xfId="0" applyFont="1" applyBorder="1" applyAlignment="1" applyProtection="1">
      <alignment horizontal="center" vertical="center"/>
      <protection locked="0"/>
    </xf>
    <xf numFmtId="0" fontId="43" fillId="11" borderId="0" xfId="0" applyFont="1" applyFill="1" applyAlignment="1">
      <alignment horizontal="center" vertical="center"/>
    </xf>
    <xf numFmtId="0" fontId="29" fillId="25" borderId="5" xfId="0" applyFont="1" applyFill="1" applyBorder="1" applyAlignment="1" applyProtection="1">
      <alignment horizontal="center" vertical="center" wrapText="1"/>
      <protection locked="0"/>
    </xf>
    <xf numFmtId="0" fontId="29" fillId="25" borderId="6" xfId="0" applyFont="1" applyFill="1" applyBorder="1" applyAlignment="1" applyProtection="1">
      <alignment horizontal="center" vertical="center" wrapText="1"/>
      <protection locked="0"/>
    </xf>
    <xf numFmtId="0" fontId="29" fillId="25" borderId="7" xfId="0" applyFont="1" applyFill="1" applyBorder="1" applyAlignment="1" applyProtection="1">
      <alignment horizontal="center" vertical="center" wrapText="1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CC99FF"/>
      <color rgb="FFFFFFCC"/>
      <color rgb="FFFFCCFF"/>
      <color rgb="FFD6E63E"/>
      <color rgb="FFEDF4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61"/>
  <sheetViews>
    <sheetView zoomScaleSheetLayoutView="100" workbookViewId="0">
      <pane xSplit="2" ySplit="4" topLeftCell="C189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51.44140625" customWidth="1"/>
    <col min="2" max="2" width="8.109375" style="5" customWidth="1"/>
    <col min="4" max="4" width="13.33203125" style="4" customWidth="1"/>
    <col min="5" max="8" width="12.44140625" style="4" customWidth="1"/>
    <col min="9" max="9" width="13.5546875" style="4" bestFit="1" customWidth="1"/>
    <col min="10" max="10" width="14" style="39" bestFit="1" customWidth="1"/>
    <col min="11" max="11" width="16" customWidth="1"/>
  </cols>
  <sheetData>
    <row r="1" spans="1:24" ht="22.5" customHeight="1" x14ac:dyDescent="0.3">
      <c r="A1" s="278" t="s">
        <v>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7.5" customHeight="1" x14ac:dyDescent="0.3"/>
    <row r="3" spans="1:24" ht="13.5" customHeight="1" x14ac:dyDescent="0.3">
      <c r="A3" s="255" t="s">
        <v>1</v>
      </c>
      <c r="B3" s="276" t="s">
        <v>2</v>
      </c>
      <c r="C3" s="255" t="s">
        <v>3</v>
      </c>
      <c r="D3" s="269" t="s">
        <v>4</v>
      </c>
      <c r="E3" s="273" t="s">
        <v>69</v>
      </c>
      <c r="F3" s="274"/>
      <c r="G3" s="274"/>
      <c r="H3" s="275"/>
      <c r="I3" s="266" t="s">
        <v>89</v>
      </c>
      <c r="J3" s="272" t="s">
        <v>5</v>
      </c>
      <c r="K3" s="271" t="s">
        <v>72</v>
      </c>
    </row>
    <row r="4" spans="1:24" ht="14.25" customHeight="1" x14ac:dyDescent="0.3">
      <c r="A4" s="256"/>
      <c r="B4" s="277"/>
      <c r="C4" s="256"/>
      <c r="D4" s="270"/>
      <c r="E4" s="9" t="s">
        <v>70</v>
      </c>
      <c r="F4" s="9" t="s">
        <v>71</v>
      </c>
      <c r="G4" s="9" t="s">
        <v>71</v>
      </c>
      <c r="H4" s="9" t="s">
        <v>71</v>
      </c>
      <c r="I4" s="267"/>
      <c r="J4" s="272"/>
      <c r="K4" s="271"/>
    </row>
    <row r="5" spans="1:24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/>
      <c r="F5" s="3"/>
      <c r="G5" s="3"/>
      <c r="H5" s="3"/>
      <c r="I5" s="20">
        <f>D5+E5+F5+G5+H5</f>
        <v>54810810</v>
      </c>
      <c r="J5" s="51">
        <v>9218468</v>
      </c>
      <c r="K5" s="3">
        <f>I5-J5</f>
        <v>45592342</v>
      </c>
    </row>
    <row r="6" spans="1:24" x14ac:dyDescent="0.3">
      <c r="A6" s="285"/>
      <c r="B6" s="261"/>
      <c r="C6" s="2" t="s">
        <v>17</v>
      </c>
      <c r="D6" s="3">
        <v>7273070</v>
      </c>
      <c r="E6" s="3"/>
      <c r="F6" s="3"/>
      <c r="G6" s="3"/>
      <c r="H6" s="3"/>
      <c r="I6" s="20">
        <f t="shared" ref="I6:I23" si="0">D6+E6+F6+G6+H6</f>
        <v>7273070</v>
      </c>
      <c r="J6" s="51">
        <v>7273070</v>
      </c>
      <c r="K6" s="3">
        <f t="shared" ref="K6:K23" si="1">I6-J6</f>
        <v>0</v>
      </c>
    </row>
    <row r="7" spans="1:24" x14ac:dyDescent="0.3">
      <c r="A7" s="285"/>
      <c r="B7" s="261"/>
      <c r="C7" s="2" t="s">
        <v>18</v>
      </c>
      <c r="D7" s="3">
        <v>96985672</v>
      </c>
      <c r="E7" s="3"/>
      <c r="F7" s="3"/>
      <c r="G7" s="3"/>
      <c r="H7" s="3"/>
      <c r="I7" s="20">
        <f t="shared" si="0"/>
        <v>96985672</v>
      </c>
      <c r="J7" s="51">
        <v>22524698</v>
      </c>
      <c r="K7" s="3">
        <f t="shared" si="1"/>
        <v>74460974</v>
      </c>
    </row>
    <row r="8" spans="1:24" x14ac:dyDescent="0.3">
      <c r="A8" s="285"/>
      <c r="B8" s="264">
        <v>104042</v>
      </c>
      <c r="C8" s="2" t="s">
        <v>22</v>
      </c>
      <c r="D8" s="3">
        <v>200000</v>
      </c>
      <c r="E8" s="3"/>
      <c r="F8" s="3"/>
      <c r="G8" s="3"/>
      <c r="H8" s="3"/>
      <c r="I8" s="20">
        <f t="shared" si="0"/>
        <v>200000</v>
      </c>
      <c r="J8" s="51">
        <v>0</v>
      </c>
      <c r="K8" s="3">
        <f t="shared" si="1"/>
        <v>200000</v>
      </c>
    </row>
    <row r="9" spans="1:24" x14ac:dyDescent="0.3">
      <c r="A9" s="285"/>
      <c r="B9" s="268"/>
      <c r="C9" s="2" t="s">
        <v>19</v>
      </c>
      <c r="D9" s="3">
        <v>13200</v>
      </c>
      <c r="E9" s="3">
        <v>-1646</v>
      </c>
      <c r="F9" s="3"/>
      <c r="G9" s="3"/>
      <c r="H9" s="3"/>
      <c r="I9" s="20">
        <f t="shared" si="0"/>
        <v>11554</v>
      </c>
      <c r="J9" s="51">
        <v>2130</v>
      </c>
      <c r="K9" s="3">
        <f t="shared" si="1"/>
        <v>9424</v>
      </c>
    </row>
    <row r="10" spans="1:24" x14ac:dyDescent="0.3">
      <c r="A10" s="285"/>
      <c r="B10" s="268"/>
      <c r="C10" s="2" t="s">
        <v>20</v>
      </c>
      <c r="D10" s="3">
        <v>500</v>
      </c>
      <c r="E10" s="3">
        <v>-436</v>
      </c>
      <c r="F10" s="3"/>
      <c r="G10" s="3"/>
      <c r="H10" s="3"/>
      <c r="I10" s="20">
        <f t="shared" si="0"/>
        <v>64</v>
      </c>
      <c r="J10" s="51">
        <v>44</v>
      </c>
      <c r="K10" s="3">
        <f t="shared" si="1"/>
        <v>20</v>
      </c>
    </row>
    <row r="11" spans="1:24" x14ac:dyDescent="0.3">
      <c r="A11" s="285"/>
      <c r="B11" s="265"/>
      <c r="C11" s="2" t="s">
        <v>84</v>
      </c>
      <c r="D11" s="3">
        <v>0</v>
      </c>
      <c r="E11" s="3">
        <f>1646+892</f>
        <v>2538</v>
      </c>
      <c r="F11" s="3"/>
      <c r="G11" s="3"/>
      <c r="H11" s="3"/>
      <c r="I11" s="20">
        <f t="shared" si="0"/>
        <v>2538</v>
      </c>
      <c r="J11" s="51">
        <v>2538</v>
      </c>
      <c r="K11" s="3">
        <f t="shared" si="1"/>
        <v>0</v>
      </c>
    </row>
    <row r="12" spans="1:24" x14ac:dyDescent="0.3">
      <c r="A12" s="285"/>
      <c r="B12" s="264">
        <v>104043</v>
      </c>
      <c r="C12" s="2" t="s">
        <v>20</v>
      </c>
      <c r="D12" s="3">
        <v>500</v>
      </c>
      <c r="E12" s="3">
        <v>-457</v>
      </c>
      <c r="F12" s="3"/>
      <c r="G12" s="3"/>
      <c r="H12" s="3"/>
      <c r="I12" s="20">
        <f t="shared" si="0"/>
        <v>43</v>
      </c>
      <c r="J12" s="51">
        <v>43</v>
      </c>
      <c r="K12" s="3">
        <f t="shared" si="1"/>
        <v>0</v>
      </c>
    </row>
    <row r="13" spans="1:24" x14ac:dyDescent="0.3">
      <c r="A13" s="263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20">
        <f t="shared" si="0"/>
        <v>1</v>
      </c>
      <c r="J13" s="51">
        <v>1</v>
      </c>
      <c r="K13" s="3">
        <f t="shared" si="1"/>
        <v>0</v>
      </c>
    </row>
    <row r="14" spans="1:24" x14ac:dyDescent="0.3">
      <c r="A14" s="254" t="s">
        <v>7</v>
      </c>
      <c r="B14" s="261" t="s">
        <v>21</v>
      </c>
      <c r="C14" s="2" t="s">
        <v>16</v>
      </c>
      <c r="D14" s="3">
        <v>245982</v>
      </c>
      <c r="E14" s="3"/>
      <c r="F14" s="3"/>
      <c r="G14" s="3"/>
      <c r="H14" s="3"/>
      <c r="I14" s="20">
        <f t="shared" si="0"/>
        <v>245982</v>
      </c>
      <c r="J14" s="51">
        <v>46069</v>
      </c>
      <c r="K14" s="3">
        <f t="shared" si="1"/>
        <v>199913</v>
      </c>
    </row>
    <row r="15" spans="1:24" x14ac:dyDescent="0.3">
      <c r="A15" s="254"/>
      <c r="B15" s="261"/>
      <c r="C15" s="2" t="s">
        <v>17</v>
      </c>
      <c r="D15" s="3">
        <v>1005557</v>
      </c>
      <c r="E15" s="3"/>
      <c r="F15" s="3"/>
      <c r="G15" s="3"/>
      <c r="H15" s="3"/>
      <c r="I15" s="20">
        <f t="shared" si="0"/>
        <v>1005557</v>
      </c>
      <c r="J15" s="51">
        <v>1005557</v>
      </c>
      <c r="K15" s="3">
        <f t="shared" si="1"/>
        <v>0</v>
      </c>
    </row>
    <row r="16" spans="1:24" x14ac:dyDescent="0.3">
      <c r="A16" s="254" t="s">
        <v>8</v>
      </c>
      <c r="B16" s="261" t="s">
        <v>21</v>
      </c>
      <c r="C16" s="2" t="s">
        <v>16</v>
      </c>
      <c r="D16" s="3">
        <v>3086953</v>
      </c>
      <c r="E16" s="3"/>
      <c r="F16" s="3"/>
      <c r="G16" s="3"/>
      <c r="H16" s="3"/>
      <c r="I16" s="20">
        <f t="shared" si="0"/>
        <v>3086953</v>
      </c>
      <c r="J16" s="51">
        <v>514492</v>
      </c>
      <c r="K16" s="3">
        <f t="shared" si="1"/>
        <v>2572461</v>
      </c>
    </row>
    <row r="17" spans="1:11" x14ac:dyDescent="0.3">
      <c r="A17" s="254"/>
      <c r="B17" s="261"/>
      <c r="C17" s="2" t="s">
        <v>17</v>
      </c>
      <c r="D17" s="3">
        <v>440959</v>
      </c>
      <c r="E17" s="3"/>
      <c r="F17" s="3"/>
      <c r="G17" s="3"/>
      <c r="H17" s="3"/>
      <c r="I17" s="20">
        <f t="shared" si="0"/>
        <v>440959</v>
      </c>
      <c r="J17" s="51">
        <v>440959</v>
      </c>
      <c r="K17" s="3">
        <f t="shared" si="1"/>
        <v>0</v>
      </c>
    </row>
    <row r="18" spans="1:11" x14ac:dyDescent="0.3">
      <c r="A18" s="254" t="s">
        <v>9</v>
      </c>
      <c r="B18" s="261" t="s">
        <v>21</v>
      </c>
      <c r="C18" s="2" t="s">
        <v>16</v>
      </c>
      <c r="D18" s="3">
        <v>1403439</v>
      </c>
      <c r="E18" s="3"/>
      <c r="F18" s="3"/>
      <c r="G18" s="3"/>
      <c r="H18" s="3"/>
      <c r="I18" s="20">
        <f t="shared" si="0"/>
        <v>1403439</v>
      </c>
      <c r="J18" s="51">
        <v>272841</v>
      </c>
      <c r="K18" s="3">
        <f t="shared" si="1"/>
        <v>1130598</v>
      </c>
    </row>
    <row r="19" spans="1:11" x14ac:dyDescent="0.3">
      <c r="A19" s="254"/>
      <c r="B19" s="261"/>
      <c r="C19" s="2" t="s">
        <v>17</v>
      </c>
      <c r="D19" s="3">
        <v>599759</v>
      </c>
      <c r="E19" s="3"/>
      <c r="F19" s="3"/>
      <c r="G19" s="3"/>
      <c r="H19" s="3"/>
      <c r="I19" s="20">
        <f t="shared" si="0"/>
        <v>599759</v>
      </c>
      <c r="J19" s="51">
        <v>599759</v>
      </c>
      <c r="K19" s="3">
        <f t="shared" si="1"/>
        <v>0</v>
      </c>
    </row>
    <row r="20" spans="1:11" x14ac:dyDescent="0.3">
      <c r="A20" s="262" t="s">
        <v>54</v>
      </c>
      <c r="B20" s="264" t="s">
        <v>21</v>
      </c>
      <c r="C20" s="2" t="s">
        <v>16</v>
      </c>
      <c r="D20" s="3">
        <v>4056383</v>
      </c>
      <c r="E20" s="3"/>
      <c r="F20" s="3"/>
      <c r="G20" s="3"/>
      <c r="H20" s="3"/>
      <c r="I20" s="20">
        <f t="shared" si="0"/>
        <v>4056383</v>
      </c>
      <c r="J20" s="51">
        <v>676064</v>
      </c>
      <c r="K20" s="3">
        <f t="shared" si="1"/>
        <v>3380319</v>
      </c>
    </row>
    <row r="21" spans="1:11" x14ac:dyDescent="0.3">
      <c r="A21" s="263"/>
      <c r="B21" s="265"/>
      <c r="C21" s="2" t="s">
        <v>17</v>
      </c>
      <c r="D21" s="3">
        <v>226299</v>
      </c>
      <c r="E21" s="3"/>
      <c r="F21" s="3"/>
      <c r="G21" s="3"/>
      <c r="H21" s="3"/>
      <c r="I21" s="20">
        <f t="shared" si="0"/>
        <v>226299</v>
      </c>
      <c r="J21" s="51">
        <v>226299</v>
      </c>
      <c r="K21" s="3">
        <f t="shared" si="1"/>
        <v>0</v>
      </c>
    </row>
    <row r="22" spans="1:11" x14ac:dyDescent="0.3">
      <c r="A22" s="254" t="s">
        <v>10</v>
      </c>
      <c r="B22" s="261" t="s">
        <v>21</v>
      </c>
      <c r="C22" s="2" t="s">
        <v>16</v>
      </c>
      <c r="D22" s="3">
        <v>53627392</v>
      </c>
      <c r="E22" s="3"/>
      <c r="F22" s="3"/>
      <c r="G22" s="3"/>
      <c r="H22" s="3"/>
      <c r="I22" s="20">
        <f t="shared" si="0"/>
        <v>53627392</v>
      </c>
      <c r="J22" s="51">
        <v>0</v>
      </c>
      <c r="K22" s="3">
        <f t="shared" si="1"/>
        <v>53627392</v>
      </c>
    </row>
    <row r="23" spans="1:11" x14ac:dyDescent="0.3">
      <c r="A23" s="254"/>
      <c r="B23" s="261"/>
      <c r="C23" s="2" t="s">
        <v>17</v>
      </c>
      <c r="D23" s="3">
        <v>6467166</v>
      </c>
      <c r="E23" s="3"/>
      <c r="F23" s="3"/>
      <c r="G23" s="3"/>
      <c r="H23" s="3"/>
      <c r="I23" s="20">
        <f t="shared" si="0"/>
        <v>6467166</v>
      </c>
      <c r="J23" s="51">
        <v>6467166</v>
      </c>
      <c r="K23" s="3">
        <f t="shared" si="1"/>
        <v>0</v>
      </c>
    </row>
    <row r="24" spans="1:11" s="23" customFormat="1" ht="27" customHeight="1" x14ac:dyDescent="0.3">
      <c r="A24" s="257" t="s">
        <v>73</v>
      </c>
      <c r="B24" s="258"/>
      <c r="C24" s="259"/>
      <c r="D24" s="22">
        <f t="shared" ref="D24:K24" si="2">SUM(D5:D23)</f>
        <v>230443641</v>
      </c>
      <c r="E24" s="22">
        <f t="shared" si="2"/>
        <v>0</v>
      </c>
      <c r="F24" s="22">
        <f t="shared" si="2"/>
        <v>0</v>
      </c>
      <c r="G24" s="22">
        <f t="shared" si="2"/>
        <v>0</v>
      </c>
      <c r="H24" s="22">
        <f t="shared" si="2"/>
        <v>0</v>
      </c>
      <c r="I24" s="22">
        <f t="shared" si="2"/>
        <v>230443641</v>
      </c>
      <c r="J24" s="40">
        <f t="shared" si="2"/>
        <v>49270198</v>
      </c>
      <c r="K24" s="22">
        <f t="shared" si="2"/>
        <v>181173443</v>
      </c>
    </row>
    <row r="25" spans="1:11" x14ac:dyDescent="0.3">
      <c r="A25" s="254" t="s">
        <v>11</v>
      </c>
      <c r="B25" s="264" t="s">
        <v>23</v>
      </c>
      <c r="C25" s="2" t="s">
        <v>24</v>
      </c>
      <c r="D25" s="3">
        <v>35883092</v>
      </c>
      <c r="E25" s="3">
        <f>-66995-24913</f>
        <v>-91908</v>
      </c>
      <c r="F25" s="3"/>
      <c r="G25" s="3"/>
      <c r="H25" s="3"/>
      <c r="I25" s="20">
        <f t="shared" ref="I25:I31" si="3">D25+E25+F25+G25+H25</f>
        <v>35791184</v>
      </c>
      <c r="J25" s="51">
        <v>7399813</v>
      </c>
      <c r="K25" s="3">
        <f t="shared" ref="K25:K31" si="4">I25-J25</f>
        <v>28391371</v>
      </c>
    </row>
    <row r="26" spans="1:11" x14ac:dyDescent="0.3">
      <c r="A26" s="254"/>
      <c r="B26" s="268"/>
      <c r="C26" s="2" t="s">
        <v>25</v>
      </c>
      <c r="D26" s="3">
        <v>1542000</v>
      </c>
      <c r="E26" s="3"/>
      <c r="F26" s="3"/>
      <c r="G26" s="3"/>
      <c r="H26" s="3"/>
      <c r="I26" s="20">
        <f t="shared" si="3"/>
        <v>1542000</v>
      </c>
      <c r="J26" s="51">
        <v>0</v>
      </c>
      <c r="K26" s="3">
        <f t="shared" si="4"/>
        <v>1542000</v>
      </c>
    </row>
    <row r="27" spans="1:11" x14ac:dyDescent="0.3">
      <c r="A27" s="254"/>
      <c r="B27" s="268"/>
      <c r="C27" s="2" t="s">
        <v>26</v>
      </c>
      <c r="D27" s="3">
        <v>80000</v>
      </c>
      <c r="E27" s="3"/>
      <c r="F27" s="3"/>
      <c r="G27" s="3"/>
      <c r="H27" s="3"/>
      <c r="I27" s="20">
        <f t="shared" si="3"/>
        <v>80000</v>
      </c>
      <c r="J27" s="51">
        <v>0</v>
      </c>
      <c r="K27" s="3">
        <f t="shared" si="4"/>
        <v>80000</v>
      </c>
    </row>
    <row r="28" spans="1:11" x14ac:dyDescent="0.3">
      <c r="A28" s="254"/>
      <c r="B28" s="268"/>
      <c r="C28" s="2" t="s">
        <v>27</v>
      </c>
      <c r="D28" s="3">
        <v>893400</v>
      </c>
      <c r="E28" s="3"/>
      <c r="F28" s="3"/>
      <c r="G28" s="3"/>
      <c r="H28" s="3"/>
      <c r="I28" s="20">
        <f t="shared" si="3"/>
        <v>893400</v>
      </c>
      <c r="J28" s="51">
        <v>118760</v>
      </c>
      <c r="K28" s="3">
        <f t="shared" si="4"/>
        <v>774640</v>
      </c>
    </row>
    <row r="29" spans="1:11" x14ac:dyDescent="0.3">
      <c r="A29" s="254"/>
      <c r="B29" s="268"/>
      <c r="C29" s="2" t="s">
        <v>28</v>
      </c>
      <c r="D29" s="3">
        <v>190000</v>
      </c>
      <c r="E29" s="3"/>
      <c r="F29" s="3"/>
      <c r="G29" s="3"/>
      <c r="H29" s="3"/>
      <c r="I29" s="20">
        <f t="shared" si="3"/>
        <v>190000</v>
      </c>
      <c r="J29" s="51">
        <v>0</v>
      </c>
      <c r="K29" s="3">
        <f t="shared" si="4"/>
        <v>190000</v>
      </c>
    </row>
    <row r="30" spans="1:11" x14ac:dyDescent="0.3">
      <c r="A30" s="254"/>
      <c r="B30" s="268"/>
      <c r="C30" s="2" t="s">
        <v>29</v>
      </c>
      <c r="D30" s="3">
        <v>1086500</v>
      </c>
      <c r="E30" s="3">
        <f>66995+24913</f>
        <v>91908</v>
      </c>
      <c r="F30" s="3"/>
      <c r="G30" s="3"/>
      <c r="H30" s="3"/>
      <c r="I30" s="20">
        <f t="shared" si="3"/>
        <v>1178408</v>
      </c>
      <c r="J30" s="51">
        <v>160641</v>
      </c>
      <c r="K30" s="3">
        <f t="shared" si="4"/>
        <v>1017767</v>
      </c>
    </row>
    <row r="31" spans="1:11" x14ac:dyDescent="0.3">
      <c r="A31" s="254"/>
      <c r="B31" s="268"/>
      <c r="C31" s="2" t="s">
        <v>30</v>
      </c>
      <c r="D31" s="3">
        <v>100000</v>
      </c>
      <c r="E31" s="3"/>
      <c r="F31" s="3"/>
      <c r="G31" s="3"/>
      <c r="H31" s="3"/>
      <c r="I31" s="20">
        <f t="shared" si="3"/>
        <v>100000</v>
      </c>
      <c r="J31" s="51">
        <v>0</v>
      </c>
      <c r="K31" s="3">
        <f t="shared" si="4"/>
        <v>100000</v>
      </c>
    </row>
    <row r="32" spans="1:11" x14ac:dyDescent="0.3">
      <c r="A32" s="254"/>
      <c r="B32" s="268"/>
      <c r="C32" s="6" t="s">
        <v>53</v>
      </c>
      <c r="D32" s="7">
        <f>SUM(D25:D31)</f>
        <v>39774992</v>
      </c>
      <c r="E32" s="7">
        <f t="shared" ref="E32:K32" si="5">SUM(E25:E31)</f>
        <v>0</v>
      </c>
      <c r="F32" s="7">
        <f t="shared" si="5"/>
        <v>0</v>
      </c>
      <c r="G32" s="7">
        <f t="shared" si="5"/>
        <v>0</v>
      </c>
      <c r="H32" s="7">
        <f t="shared" si="5"/>
        <v>0</v>
      </c>
      <c r="I32" s="7">
        <f t="shared" si="5"/>
        <v>39774992</v>
      </c>
      <c r="J32" s="52">
        <f t="shared" si="5"/>
        <v>7679214</v>
      </c>
      <c r="K32" s="7">
        <f t="shared" si="5"/>
        <v>32095778</v>
      </c>
    </row>
    <row r="33" spans="1:11" x14ac:dyDescent="0.3">
      <c r="A33" s="254"/>
      <c r="B33" s="268"/>
      <c r="C33" s="6" t="s">
        <v>31</v>
      </c>
      <c r="D33" s="7">
        <v>7793417</v>
      </c>
      <c r="E33" s="7"/>
      <c r="F33" s="7"/>
      <c r="G33" s="7"/>
      <c r="H33" s="7"/>
      <c r="I33" s="21">
        <f t="shared" ref="I33" si="6">D33+E33+F33+G33+H33</f>
        <v>7793417</v>
      </c>
      <c r="J33" s="53">
        <v>1507624</v>
      </c>
      <c r="K33" s="8">
        <f t="shared" ref="K33" si="7">I33-J33</f>
        <v>6285793</v>
      </c>
    </row>
    <row r="34" spans="1:11" x14ac:dyDescent="0.3">
      <c r="A34" s="254"/>
      <c r="B34" s="268"/>
      <c r="C34" s="2" t="s">
        <v>32</v>
      </c>
      <c r="D34" s="3">
        <v>105000</v>
      </c>
      <c r="E34" s="3"/>
      <c r="F34" s="3"/>
      <c r="G34" s="3"/>
      <c r="H34" s="3"/>
      <c r="I34" s="20">
        <f t="shared" ref="I34:I47" si="8">D34+E34+F34+G34+H34</f>
        <v>105000</v>
      </c>
      <c r="J34" s="51">
        <v>0</v>
      </c>
      <c r="K34" s="3">
        <f t="shared" ref="K34:K47" si="9">I34-J34</f>
        <v>105000</v>
      </c>
    </row>
    <row r="35" spans="1:11" x14ac:dyDescent="0.3">
      <c r="A35" s="254"/>
      <c r="B35" s="268"/>
      <c r="C35" s="2" t="s">
        <v>33</v>
      </c>
      <c r="D35" s="3">
        <v>500000</v>
      </c>
      <c r="E35" s="3"/>
      <c r="F35" s="3"/>
      <c r="G35" s="3"/>
      <c r="H35" s="3"/>
      <c r="I35" s="20">
        <f t="shared" si="8"/>
        <v>500000</v>
      </c>
      <c r="J35" s="51">
        <v>0</v>
      </c>
      <c r="K35" s="3">
        <f t="shared" si="9"/>
        <v>500000</v>
      </c>
    </row>
    <row r="36" spans="1:11" x14ac:dyDescent="0.3">
      <c r="A36" s="254"/>
      <c r="B36" s="268"/>
      <c r="C36" s="2" t="s">
        <v>34</v>
      </c>
      <c r="D36" s="3">
        <v>213000</v>
      </c>
      <c r="E36" s="3"/>
      <c r="F36" s="3"/>
      <c r="G36" s="3"/>
      <c r="H36" s="3"/>
      <c r="I36" s="20">
        <f t="shared" si="8"/>
        <v>213000</v>
      </c>
      <c r="J36" s="51">
        <v>20818</v>
      </c>
      <c r="K36" s="3">
        <f t="shared" si="9"/>
        <v>192182</v>
      </c>
    </row>
    <row r="37" spans="1:11" x14ac:dyDescent="0.3">
      <c r="A37" s="254"/>
      <c r="B37" s="268"/>
      <c r="C37" s="2" t="s">
        <v>35</v>
      </c>
      <c r="D37" s="3">
        <v>162000</v>
      </c>
      <c r="E37" s="3"/>
      <c r="F37" s="3"/>
      <c r="G37" s="3"/>
      <c r="H37" s="3"/>
      <c r="I37" s="20">
        <f t="shared" si="8"/>
        <v>162000</v>
      </c>
      <c r="J37" s="51">
        <v>16189</v>
      </c>
      <c r="K37" s="3">
        <f t="shared" si="9"/>
        <v>145811</v>
      </c>
    </row>
    <row r="38" spans="1:11" x14ac:dyDescent="0.3">
      <c r="A38" s="254"/>
      <c r="B38" s="268"/>
      <c r="C38" s="2" t="s">
        <v>36</v>
      </c>
      <c r="D38" s="3">
        <v>569540</v>
      </c>
      <c r="E38" s="3"/>
      <c r="F38" s="3"/>
      <c r="G38" s="3"/>
      <c r="H38" s="3"/>
      <c r="I38" s="20">
        <f t="shared" si="8"/>
        <v>569540</v>
      </c>
      <c r="J38" s="51">
        <v>200895</v>
      </c>
      <c r="K38" s="3">
        <f t="shared" si="9"/>
        <v>368645</v>
      </c>
    </row>
    <row r="39" spans="1:11" x14ac:dyDescent="0.3">
      <c r="A39" s="254"/>
      <c r="B39" s="268"/>
      <c r="C39" s="2" t="s">
        <v>37</v>
      </c>
      <c r="D39" s="3">
        <v>3000</v>
      </c>
      <c r="E39" s="3"/>
      <c r="F39" s="3"/>
      <c r="G39" s="3"/>
      <c r="H39" s="3"/>
      <c r="I39" s="20">
        <f t="shared" si="8"/>
        <v>3000</v>
      </c>
      <c r="J39" s="51">
        <v>0</v>
      </c>
      <c r="K39" s="3">
        <f t="shared" si="9"/>
        <v>3000</v>
      </c>
    </row>
    <row r="40" spans="1:11" x14ac:dyDescent="0.3">
      <c r="A40" s="254"/>
      <c r="B40" s="268"/>
      <c r="C40" s="2" t="s">
        <v>38</v>
      </c>
      <c r="D40" s="3">
        <v>460000</v>
      </c>
      <c r="E40" s="3"/>
      <c r="F40" s="3"/>
      <c r="G40" s="3"/>
      <c r="H40" s="3"/>
      <c r="I40" s="20">
        <f t="shared" si="8"/>
        <v>460000</v>
      </c>
      <c r="J40" s="51">
        <v>45459</v>
      </c>
      <c r="K40" s="3">
        <f t="shared" si="9"/>
        <v>414541</v>
      </c>
    </row>
    <row r="41" spans="1:11" x14ac:dyDescent="0.3">
      <c r="A41" s="254"/>
      <c r="B41" s="268"/>
      <c r="C41" s="2" t="s">
        <v>39</v>
      </c>
      <c r="D41" s="3">
        <v>13200</v>
      </c>
      <c r="E41" s="3">
        <v>-1646</v>
      </c>
      <c r="F41" s="3"/>
      <c r="G41" s="3"/>
      <c r="H41" s="3"/>
      <c r="I41" s="20">
        <f t="shared" si="8"/>
        <v>11554</v>
      </c>
      <c r="J41" s="51">
        <v>3206</v>
      </c>
      <c r="K41" s="3">
        <f t="shared" si="9"/>
        <v>8348</v>
      </c>
    </row>
    <row r="42" spans="1:11" x14ac:dyDescent="0.3">
      <c r="A42" s="254"/>
      <c r="B42" s="268"/>
      <c r="C42" s="2" t="s">
        <v>40</v>
      </c>
      <c r="D42" s="3">
        <v>137800</v>
      </c>
      <c r="E42" s="3"/>
      <c r="F42" s="3"/>
      <c r="G42" s="3"/>
      <c r="H42" s="3"/>
      <c r="I42" s="20">
        <f t="shared" si="8"/>
        <v>137800</v>
      </c>
      <c r="J42" s="51">
        <v>0</v>
      </c>
      <c r="K42" s="3">
        <f t="shared" si="9"/>
        <v>137800</v>
      </c>
    </row>
    <row r="43" spans="1:11" x14ac:dyDescent="0.3">
      <c r="A43" s="254"/>
      <c r="B43" s="268"/>
      <c r="C43" s="2" t="s">
        <v>41</v>
      </c>
      <c r="D43" s="3">
        <v>582236</v>
      </c>
      <c r="E43" s="3">
        <v>1646</v>
      </c>
      <c r="F43" s="3"/>
      <c r="G43" s="3"/>
      <c r="H43" s="3"/>
      <c r="I43" s="20">
        <f t="shared" si="8"/>
        <v>583882</v>
      </c>
      <c r="J43" s="51">
        <v>231122</v>
      </c>
      <c r="K43" s="3">
        <f t="shared" si="9"/>
        <v>352760</v>
      </c>
    </row>
    <row r="44" spans="1:11" x14ac:dyDescent="0.3">
      <c r="A44" s="254"/>
      <c r="B44" s="268"/>
      <c r="C44" s="2" t="s">
        <v>42</v>
      </c>
      <c r="D44" s="3">
        <v>552000</v>
      </c>
      <c r="E44" s="3"/>
      <c r="F44" s="3"/>
      <c r="G44" s="3"/>
      <c r="H44" s="3"/>
      <c r="I44" s="20">
        <f t="shared" si="8"/>
        <v>552000</v>
      </c>
      <c r="J44" s="51">
        <v>127045</v>
      </c>
      <c r="K44" s="3">
        <f t="shared" si="9"/>
        <v>424955</v>
      </c>
    </row>
    <row r="45" spans="1:11" x14ac:dyDescent="0.3">
      <c r="A45" s="254"/>
      <c r="B45" s="268"/>
      <c r="C45" s="2" t="s">
        <v>43</v>
      </c>
      <c r="D45" s="3">
        <v>30000</v>
      </c>
      <c r="E45" s="3"/>
      <c r="F45" s="3"/>
      <c r="G45" s="3"/>
      <c r="H45" s="3"/>
      <c r="I45" s="20">
        <f t="shared" si="8"/>
        <v>30000</v>
      </c>
      <c r="J45" s="51">
        <v>0</v>
      </c>
      <c r="K45" s="3">
        <f t="shared" si="9"/>
        <v>30000</v>
      </c>
    </row>
    <row r="46" spans="1:11" x14ac:dyDescent="0.3">
      <c r="A46" s="254"/>
      <c r="B46" s="268"/>
      <c r="C46" s="2" t="s">
        <v>44</v>
      </c>
      <c r="D46" s="3">
        <v>455834</v>
      </c>
      <c r="E46" s="3"/>
      <c r="F46" s="3"/>
      <c r="G46" s="3"/>
      <c r="H46" s="3"/>
      <c r="I46" s="20">
        <f t="shared" si="8"/>
        <v>455834</v>
      </c>
      <c r="J46" s="51">
        <v>42033</v>
      </c>
      <c r="K46" s="3">
        <f t="shared" si="9"/>
        <v>413801</v>
      </c>
    </row>
    <row r="47" spans="1:11" x14ac:dyDescent="0.3">
      <c r="A47" s="254"/>
      <c r="B47" s="268"/>
      <c r="C47" s="2" t="s">
        <v>45</v>
      </c>
      <c r="D47" s="3">
        <v>80000</v>
      </c>
      <c r="E47" s="3">
        <v>-4236</v>
      </c>
      <c r="F47" s="3"/>
      <c r="G47" s="3"/>
      <c r="H47" s="3"/>
      <c r="I47" s="20">
        <f t="shared" si="8"/>
        <v>75764</v>
      </c>
      <c r="J47" s="51">
        <v>16264</v>
      </c>
      <c r="K47" s="3">
        <f t="shared" si="9"/>
        <v>59500</v>
      </c>
    </row>
    <row r="48" spans="1:11" x14ac:dyDescent="0.3">
      <c r="A48" s="254"/>
      <c r="B48" s="268"/>
      <c r="C48" s="6" t="s">
        <v>49</v>
      </c>
      <c r="D48" s="7">
        <f>SUM(D34:D47)</f>
        <v>3863610</v>
      </c>
      <c r="E48" s="7">
        <f t="shared" ref="E48:K48" si="10">SUM(E34:E47)</f>
        <v>-4236</v>
      </c>
      <c r="F48" s="7">
        <f t="shared" si="10"/>
        <v>0</v>
      </c>
      <c r="G48" s="7">
        <f t="shared" si="10"/>
        <v>0</v>
      </c>
      <c r="H48" s="7">
        <f t="shared" si="10"/>
        <v>0</v>
      </c>
      <c r="I48" s="7">
        <f t="shared" si="10"/>
        <v>3859374</v>
      </c>
      <c r="J48" s="52">
        <f t="shared" si="10"/>
        <v>703031</v>
      </c>
      <c r="K48" s="7">
        <f t="shared" si="10"/>
        <v>3156343</v>
      </c>
    </row>
    <row r="49" spans="1:11" x14ac:dyDescent="0.3">
      <c r="A49" s="254"/>
      <c r="B49" s="268"/>
      <c r="C49" s="2" t="s">
        <v>50</v>
      </c>
      <c r="D49" s="3">
        <v>78740</v>
      </c>
      <c r="E49" s="3"/>
      <c r="F49" s="3"/>
      <c r="G49" s="3"/>
      <c r="H49" s="3"/>
      <c r="I49" s="20">
        <f t="shared" ref="I49:I50" si="11">D49+E49+F49+G49+H49</f>
        <v>78740</v>
      </c>
      <c r="J49" s="51">
        <v>0</v>
      </c>
      <c r="K49" s="3">
        <f t="shared" ref="K49:K50" si="12">I49-J49</f>
        <v>78740</v>
      </c>
    </row>
    <row r="50" spans="1:11" x14ac:dyDescent="0.3">
      <c r="A50" s="254"/>
      <c r="B50" s="268"/>
      <c r="C50" s="2" t="s">
        <v>51</v>
      </c>
      <c r="D50" s="3">
        <v>21260</v>
      </c>
      <c r="E50" s="3"/>
      <c r="F50" s="3"/>
      <c r="G50" s="3"/>
      <c r="H50" s="3"/>
      <c r="I50" s="20">
        <f t="shared" si="11"/>
        <v>21260</v>
      </c>
      <c r="J50" s="51">
        <v>0</v>
      </c>
      <c r="K50" s="3">
        <f t="shared" si="12"/>
        <v>21260</v>
      </c>
    </row>
    <row r="51" spans="1:11" x14ac:dyDescent="0.3">
      <c r="A51" s="254"/>
      <c r="B51" s="265"/>
      <c r="C51" s="6" t="s">
        <v>52</v>
      </c>
      <c r="D51" s="7">
        <f>SUM(D49:D50)</f>
        <v>100000</v>
      </c>
      <c r="E51" s="7">
        <f t="shared" ref="E51:K51" si="13">SUM(E49:E50)</f>
        <v>0</v>
      </c>
      <c r="F51" s="7">
        <f t="shared" si="13"/>
        <v>0</v>
      </c>
      <c r="G51" s="7">
        <f t="shared" si="13"/>
        <v>0</v>
      </c>
      <c r="H51" s="7">
        <f t="shared" si="13"/>
        <v>0</v>
      </c>
      <c r="I51" s="7">
        <f t="shared" si="13"/>
        <v>100000</v>
      </c>
      <c r="J51" s="52">
        <f t="shared" si="13"/>
        <v>0</v>
      </c>
      <c r="K51" s="7">
        <f t="shared" si="13"/>
        <v>100000</v>
      </c>
    </row>
    <row r="52" spans="1:11" x14ac:dyDescent="0.3">
      <c r="A52" s="254"/>
      <c r="B52" s="261" t="s">
        <v>46</v>
      </c>
      <c r="C52" s="2" t="s">
        <v>24</v>
      </c>
      <c r="D52" s="3">
        <v>25123345</v>
      </c>
      <c r="E52" s="3"/>
      <c r="F52" s="3"/>
      <c r="G52" s="3"/>
      <c r="H52" s="3"/>
      <c r="I52" s="20">
        <f t="shared" ref="I52:I60" si="14">D52+E52+F52+G52+H52</f>
        <v>25123345</v>
      </c>
      <c r="J52" s="51">
        <v>5590364</v>
      </c>
      <c r="K52" s="3">
        <f t="shared" ref="K52:K60" si="15">I52-J52</f>
        <v>19532981</v>
      </c>
    </row>
    <row r="53" spans="1:11" x14ac:dyDescent="0.3">
      <c r="A53" s="254"/>
      <c r="B53" s="261"/>
      <c r="C53" s="2" t="s">
        <v>47</v>
      </c>
      <c r="D53" s="3">
        <v>2040480</v>
      </c>
      <c r="E53" s="3"/>
      <c r="F53" s="3"/>
      <c r="G53" s="3"/>
      <c r="H53" s="3"/>
      <c r="I53" s="20">
        <f t="shared" si="14"/>
        <v>2040480</v>
      </c>
      <c r="J53" s="51">
        <v>453207</v>
      </c>
      <c r="K53" s="3">
        <f t="shared" si="15"/>
        <v>1587273</v>
      </c>
    </row>
    <row r="54" spans="1:11" x14ac:dyDescent="0.3">
      <c r="A54" s="254"/>
      <c r="B54" s="261"/>
      <c r="C54" s="2" t="s">
        <v>48</v>
      </c>
      <c r="D54" s="3">
        <v>0</v>
      </c>
      <c r="E54" s="3"/>
      <c r="F54" s="3"/>
      <c r="G54" s="3"/>
      <c r="H54" s="3"/>
      <c r="I54" s="20">
        <f t="shared" si="14"/>
        <v>0</v>
      </c>
      <c r="J54" s="51">
        <v>0</v>
      </c>
      <c r="K54" s="3">
        <f t="shared" si="15"/>
        <v>0</v>
      </c>
    </row>
    <row r="55" spans="1:11" x14ac:dyDescent="0.3">
      <c r="A55" s="254"/>
      <c r="B55" s="261"/>
      <c r="C55" s="2" t="s">
        <v>25</v>
      </c>
      <c r="D55" s="3">
        <v>1025000</v>
      </c>
      <c r="E55" s="3"/>
      <c r="F55" s="3"/>
      <c r="G55" s="3"/>
      <c r="H55" s="3"/>
      <c r="I55" s="20">
        <f t="shared" si="14"/>
        <v>1025000</v>
      </c>
      <c r="J55" s="51">
        <v>0</v>
      </c>
      <c r="K55" s="3">
        <f t="shared" si="15"/>
        <v>1025000</v>
      </c>
    </row>
    <row r="56" spans="1:11" x14ac:dyDescent="0.3">
      <c r="A56" s="254"/>
      <c r="B56" s="261"/>
      <c r="C56" s="2" t="s">
        <v>26</v>
      </c>
      <c r="D56" s="3">
        <v>60000</v>
      </c>
      <c r="E56" s="3"/>
      <c r="F56" s="3"/>
      <c r="G56" s="3"/>
      <c r="H56" s="3"/>
      <c r="I56" s="20">
        <f t="shared" si="14"/>
        <v>60000</v>
      </c>
      <c r="J56" s="51">
        <v>0</v>
      </c>
      <c r="K56" s="3">
        <f t="shared" si="15"/>
        <v>60000</v>
      </c>
    </row>
    <row r="57" spans="1:11" x14ac:dyDescent="0.3">
      <c r="A57" s="254"/>
      <c r="B57" s="261"/>
      <c r="C57" s="2" t="s">
        <v>27</v>
      </c>
      <c r="D57" s="3">
        <v>240000</v>
      </c>
      <c r="E57" s="3"/>
      <c r="F57" s="3"/>
      <c r="G57" s="3"/>
      <c r="H57" s="3"/>
      <c r="I57" s="20">
        <f t="shared" si="14"/>
        <v>240000</v>
      </c>
      <c r="J57" s="51">
        <v>19710</v>
      </c>
      <c r="K57" s="3">
        <f t="shared" si="15"/>
        <v>220290</v>
      </c>
    </row>
    <row r="58" spans="1:11" x14ac:dyDescent="0.3">
      <c r="A58" s="254"/>
      <c r="B58" s="261"/>
      <c r="C58" s="2" t="s">
        <v>28</v>
      </c>
      <c r="D58" s="3">
        <v>147000</v>
      </c>
      <c r="E58" s="3"/>
      <c r="F58" s="3"/>
      <c r="G58" s="3"/>
      <c r="H58" s="3"/>
      <c r="I58" s="20">
        <f t="shared" si="14"/>
        <v>147000</v>
      </c>
      <c r="J58" s="51">
        <v>0</v>
      </c>
      <c r="K58" s="3">
        <f t="shared" si="15"/>
        <v>147000</v>
      </c>
    </row>
    <row r="59" spans="1:11" x14ac:dyDescent="0.3">
      <c r="A59" s="254"/>
      <c r="B59" s="261"/>
      <c r="C59" s="2" t="s">
        <v>29</v>
      </c>
      <c r="D59" s="3">
        <v>553500</v>
      </c>
      <c r="E59" s="3"/>
      <c r="F59" s="3"/>
      <c r="G59" s="3"/>
      <c r="H59" s="3"/>
      <c r="I59" s="20">
        <f t="shared" si="14"/>
        <v>553500</v>
      </c>
      <c r="J59" s="51">
        <v>98357</v>
      </c>
      <c r="K59" s="3">
        <f t="shared" si="15"/>
        <v>455143</v>
      </c>
    </row>
    <row r="60" spans="1:11" x14ac:dyDescent="0.3">
      <c r="A60" s="254"/>
      <c r="B60" s="261"/>
      <c r="C60" s="2" t="s">
        <v>30</v>
      </c>
      <c r="D60" s="3">
        <v>100000</v>
      </c>
      <c r="E60" s="3"/>
      <c r="F60" s="3"/>
      <c r="G60" s="3"/>
      <c r="H60" s="3"/>
      <c r="I60" s="20">
        <f t="shared" si="14"/>
        <v>100000</v>
      </c>
      <c r="J60" s="51">
        <v>0</v>
      </c>
      <c r="K60" s="3">
        <f t="shared" si="15"/>
        <v>100000</v>
      </c>
    </row>
    <row r="61" spans="1:11" x14ac:dyDescent="0.3">
      <c r="A61" s="254"/>
      <c r="B61" s="261"/>
      <c r="C61" s="6" t="s">
        <v>53</v>
      </c>
      <c r="D61" s="7">
        <f>SUM(D52:D60)</f>
        <v>29289325</v>
      </c>
      <c r="E61" s="7">
        <f t="shared" ref="E61:K61" si="16">SUM(E52:E60)</f>
        <v>0</v>
      </c>
      <c r="F61" s="7">
        <f t="shared" si="16"/>
        <v>0</v>
      </c>
      <c r="G61" s="7">
        <f t="shared" si="16"/>
        <v>0</v>
      </c>
      <c r="H61" s="7">
        <f t="shared" si="16"/>
        <v>0</v>
      </c>
      <c r="I61" s="7">
        <f t="shared" si="16"/>
        <v>29289325</v>
      </c>
      <c r="J61" s="52">
        <f t="shared" si="16"/>
        <v>6161638</v>
      </c>
      <c r="K61" s="7">
        <f t="shared" si="16"/>
        <v>23127687</v>
      </c>
    </row>
    <row r="62" spans="1:11" x14ac:dyDescent="0.3">
      <c r="A62" s="254"/>
      <c r="B62" s="261"/>
      <c r="C62" s="6" t="s">
        <v>31</v>
      </c>
      <c r="D62" s="7">
        <v>5849797</v>
      </c>
      <c r="E62" s="7"/>
      <c r="F62" s="7"/>
      <c r="G62" s="7"/>
      <c r="H62" s="7"/>
      <c r="I62" s="21">
        <f t="shared" ref="I62" si="17">D62+E62+F62+G62+H62</f>
        <v>5849797</v>
      </c>
      <c r="J62" s="53">
        <v>1229588</v>
      </c>
      <c r="K62" s="8">
        <f t="shared" ref="K62" si="18">I62-J62</f>
        <v>4620209</v>
      </c>
    </row>
    <row r="63" spans="1:11" x14ac:dyDescent="0.3">
      <c r="A63" s="254"/>
      <c r="B63" s="261"/>
      <c r="C63" s="2" t="s">
        <v>32</v>
      </c>
      <c r="D63" s="3">
        <v>105000</v>
      </c>
      <c r="E63" s="3"/>
      <c r="F63" s="3"/>
      <c r="G63" s="3"/>
      <c r="H63" s="3"/>
      <c r="I63" s="20">
        <f t="shared" ref="I63:I75" si="19">D63+E63+F63+G63+H63</f>
        <v>105000</v>
      </c>
      <c r="J63" s="51">
        <v>0</v>
      </c>
      <c r="K63" s="3">
        <f t="shared" ref="K63:K75" si="20">I63-J63</f>
        <v>105000</v>
      </c>
    </row>
    <row r="64" spans="1:11" x14ac:dyDescent="0.3">
      <c r="A64" s="254"/>
      <c r="B64" s="261"/>
      <c r="C64" s="2" t="s">
        <v>33</v>
      </c>
      <c r="D64" s="3">
        <v>700000</v>
      </c>
      <c r="E64" s="3"/>
      <c r="F64" s="3"/>
      <c r="G64" s="3"/>
      <c r="H64" s="3"/>
      <c r="I64" s="20">
        <f t="shared" si="19"/>
        <v>700000</v>
      </c>
      <c r="J64" s="51">
        <v>13072</v>
      </c>
      <c r="K64" s="3">
        <f t="shared" si="20"/>
        <v>686928</v>
      </c>
    </row>
    <row r="65" spans="1:11" x14ac:dyDescent="0.3">
      <c r="A65" s="254"/>
      <c r="B65" s="261"/>
      <c r="C65" s="2" t="s">
        <v>34</v>
      </c>
      <c r="D65" s="3">
        <v>213000</v>
      </c>
      <c r="E65" s="3"/>
      <c r="F65" s="3"/>
      <c r="G65" s="3"/>
      <c r="H65" s="3"/>
      <c r="I65" s="20">
        <f t="shared" si="19"/>
        <v>213000</v>
      </c>
      <c r="J65" s="51">
        <v>20819</v>
      </c>
      <c r="K65" s="3">
        <f t="shared" si="20"/>
        <v>192181</v>
      </c>
    </row>
    <row r="66" spans="1:11" x14ac:dyDescent="0.3">
      <c r="A66" s="254"/>
      <c r="B66" s="261"/>
      <c r="C66" s="2" t="s">
        <v>35</v>
      </c>
      <c r="D66" s="3">
        <v>288000</v>
      </c>
      <c r="E66" s="3">
        <v>-172800</v>
      </c>
      <c r="F66" s="3"/>
      <c r="G66" s="3"/>
      <c r="H66" s="3"/>
      <c r="I66" s="20">
        <f t="shared" si="19"/>
        <v>115200</v>
      </c>
      <c r="J66" s="51">
        <v>26624</v>
      </c>
      <c r="K66" s="3">
        <f t="shared" si="20"/>
        <v>88576</v>
      </c>
    </row>
    <row r="67" spans="1:11" x14ac:dyDescent="0.3">
      <c r="A67" s="254"/>
      <c r="B67" s="261"/>
      <c r="C67" s="2" t="s">
        <v>36</v>
      </c>
      <c r="D67" s="3">
        <v>669540</v>
      </c>
      <c r="E67" s="3"/>
      <c r="F67" s="3"/>
      <c r="G67" s="3"/>
      <c r="H67" s="3"/>
      <c r="I67" s="20">
        <f t="shared" si="19"/>
        <v>669540</v>
      </c>
      <c r="J67" s="51">
        <v>243485</v>
      </c>
      <c r="K67" s="3">
        <f t="shared" si="20"/>
        <v>426055</v>
      </c>
    </row>
    <row r="68" spans="1:11" x14ac:dyDescent="0.3">
      <c r="A68" s="254"/>
      <c r="B68" s="261"/>
      <c r="C68" s="2" t="s">
        <v>37</v>
      </c>
      <c r="D68" s="3">
        <v>123000</v>
      </c>
      <c r="E68" s="3"/>
      <c r="F68" s="3"/>
      <c r="G68" s="3"/>
      <c r="H68" s="3"/>
      <c r="I68" s="20">
        <f t="shared" si="19"/>
        <v>123000</v>
      </c>
      <c r="J68" s="51">
        <v>0</v>
      </c>
      <c r="K68" s="3">
        <f t="shared" si="20"/>
        <v>123000</v>
      </c>
    </row>
    <row r="69" spans="1:11" x14ac:dyDescent="0.3">
      <c r="A69" s="254"/>
      <c r="B69" s="261"/>
      <c r="C69" s="2" t="s">
        <v>38</v>
      </c>
      <c r="D69" s="3">
        <v>460000</v>
      </c>
      <c r="E69" s="3"/>
      <c r="F69" s="3"/>
      <c r="G69" s="3"/>
      <c r="H69" s="3"/>
      <c r="I69" s="20">
        <f t="shared" si="19"/>
        <v>460000</v>
      </c>
      <c r="J69" s="51">
        <v>45459</v>
      </c>
      <c r="K69" s="3">
        <f t="shared" si="20"/>
        <v>414541</v>
      </c>
    </row>
    <row r="70" spans="1:11" x14ac:dyDescent="0.3">
      <c r="A70" s="254"/>
      <c r="B70" s="261"/>
      <c r="C70" s="2" t="s">
        <v>40</v>
      </c>
      <c r="D70" s="3">
        <v>1361904</v>
      </c>
      <c r="E70" s="3"/>
      <c r="F70" s="3"/>
      <c r="G70" s="3"/>
      <c r="H70" s="3"/>
      <c r="I70" s="20">
        <f t="shared" si="19"/>
        <v>1361904</v>
      </c>
      <c r="J70" s="51">
        <v>125984</v>
      </c>
      <c r="K70" s="3">
        <f t="shared" si="20"/>
        <v>1235920</v>
      </c>
    </row>
    <row r="71" spans="1:11" x14ac:dyDescent="0.3">
      <c r="A71" s="254"/>
      <c r="B71" s="261"/>
      <c r="C71" s="2" t="s">
        <v>41</v>
      </c>
      <c r="D71" s="3">
        <v>982236</v>
      </c>
      <c r="E71" s="3"/>
      <c r="F71" s="3"/>
      <c r="G71" s="3"/>
      <c r="H71" s="3"/>
      <c r="I71" s="20">
        <f t="shared" si="19"/>
        <v>982236</v>
      </c>
      <c r="J71" s="51">
        <v>205218</v>
      </c>
      <c r="K71" s="3">
        <f t="shared" si="20"/>
        <v>777018</v>
      </c>
    </row>
    <row r="72" spans="1:11" x14ac:dyDescent="0.3">
      <c r="A72" s="254"/>
      <c r="B72" s="261"/>
      <c r="C72" s="2" t="s">
        <v>42</v>
      </c>
      <c r="D72" s="3">
        <v>1200000</v>
      </c>
      <c r="E72" s="3">
        <f>-9980-34080</f>
        <v>-44060</v>
      </c>
      <c r="F72" s="3"/>
      <c r="G72" s="3"/>
      <c r="H72" s="3"/>
      <c r="I72" s="20">
        <f t="shared" si="19"/>
        <v>1155940</v>
      </c>
      <c r="J72" s="51">
        <v>107460</v>
      </c>
      <c r="K72" s="3">
        <f t="shared" si="20"/>
        <v>1048480</v>
      </c>
    </row>
    <row r="73" spans="1:11" x14ac:dyDescent="0.3">
      <c r="A73" s="254"/>
      <c r="B73" s="261"/>
      <c r="C73" s="2" t="s">
        <v>43</v>
      </c>
      <c r="D73" s="3">
        <v>30000</v>
      </c>
      <c r="E73" s="3"/>
      <c r="F73" s="3"/>
      <c r="G73" s="3"/>
      <c r="H73" s="3"/>
      <c r="I73" s="20">
        <f t="shared" si="19"/>
        <v>30000</v>
      </c>
      <c r="J73" s="51">
        <v>0</v>
      </c>
      <c r="K73" s="3">
        <f t="shared" si="20"/>
        <v>30000</v>
      </c>
    </row>
    <row r="74" spans="1:11" x14ac:dyDescent="0.3">
      <c r="A74" s="254"/>
      <c r="B74" s="261"/>
      <c r="C74" s="2" t="s">
        <v>44</v>
      </c>
      <c r="D74" s="3">
        <v>1041508</v>
      </c>
      <c r="E74" s="3">
        <v>-60140</v>
      </c>
      <c r="F74" s="3"/>
      <c r="G74" s="3"/>
      <c r="H74" s="3"/>
      <c r="I74" s="20">
        <f t="shared" si="19"/>
        <v>981368</v>
      </c>
      <c r="J74" s="51">
        <v>76356</v>
      </c>
      <c r="K74" s="3">
        <f t="shared" si="20"/>
        <v>905012</v>
      </c>
    </row>
    <row r="75" spans="1:11" x14ac:dyDescent="0.3">
      <c r="A75" s="254"/>
      <c r="B75" s="261"/>
      <c r="C75" s="2" t="s">
        <v>45</v>
      </c>
      <c r="D75" s="3">
        <v>433021</v>
      </c>
      <c r="E75" s="3">
        <f>-166879-88139</f>
        <v>-255018</v>
      </c>
      <c r="F75" s="3"/>
      <c r="G75" s="3"/>
      <c r="H75" s="3"/>
      <c r="I75" s="20">
        <f t="shared" si="19"/>
        <v>178003</v>
      </c>
      <c r="J75" s="51">
        <v>0</v>
      </c>
      <c r="K75" s="3">
        <f t="shared" si="20"/>
        <v>178003</v>
      </c>
    </row>
    <row r="76" spans="1:11" x14ac:dyDescent="0.3">
      <c r="A76" s="254"/>
      <c r="B76" s="261"/>
      <c r="C76" s="6" t="s">
        <v>49</v>
      </c>
      <c r="D76" s="7">
        <f>SUM(D63:D75)</f>
        <v>7607209</v>
      </c>
      <c r="E76" s="7">
        <f t="shared" ref="E76:K76" si="21">SUM(E63:E75)</f>
        <v>-532018</v>
      </c>
      <c r="F76" s="7">
        <f t="shared" si="21"/>
        <v>0</v>
      </c>
      <c r="G76" s="7">
        <f t="shared" si="21"/>
        <v>0</v>
      </c>
      <c r="H76" s="7">
        <f t="shared" si="21"/>
        <v>0</v>
      </c>
      <c r="I76" s="7">
        <f t="shared" si="21"/>
        <v>7075191</v>
      </c>
      <c r="J76" s="52">
        <f t="shared" si="21"/>
        <v>864477</v>
      </c>
      <c r="K76" s="7">
        <f t="shared" si="21"/>
        <v>6210714</v>
      </c>
    </row>
    <row r="77" spans="1:11" x14ac:dyDescent="0.3">
      <c r="A77" s="254"/>
      <c r="B77" s="261"/>
      <c r="C77" s="2" t="s">
        <v>50</v>
      </c>
      <c r="D77" s="3">
        <v>78740</v>
      </c>
      <c r="E77" s="3"/>
      <c r="F77" s="3"/>
      <c r="G77" s="3"/>
      <c r="H77" s="3"/>
      <c r="I77" s="20">
        <f t="shared" ref="I77:I78" si="22">D77+E77+F77+G77+H77</f>
        <v>78740</v>
      </c>
      <c r="J77" s="51">
        <v>0</v>
      </c>
      <c r="K77" s="3">
        <f t="shared" ref="K77:K78" si="23">I77-J77</f>
        <v>78740</v>
      </c>
    </row>
    <row r="78" spans="1:11" x14ac:dyDescent="0.3">
      <c r="A78" s="254"/>
      <c r="B78" s="261"/>
      <c r="C78" s="2" t="s">
        <v>51</v>
      </c>
      <c r="D78" s="3">
        <v>21260</v>
      </c>
      <c r="E78" s="3"/>
      <c r="F78" s="3"/>
      <c r="G78" s="3"/>
      <c r="H78" s="3"/>
      <c r="I78" s="20">
        <f t="shared" si="22"/>
        <v>21260</v>
      </c>
      <c r="J78" s="51">
        <v>0</v>
      </c>
      <c r="K78" s="3">
        <f t="shared" si="23"/>
        <v>21260</v>
      </c>
    </row>
    <row r="79" spans="1:11" x14ac:dyDescent="0.3">
      <c r="A79" s="254"/>
      <c r="B79" s="261"/>
      <c r="C79" s="6" t="s">
        <v>52</v>
      </c>
      <c r="D79" s="7">
        <f>SUM(D77:D78)</f>
        <v>100000</v>
      </c>
      <c r="E79" s="7">
        <f t="shared" ref="E79:K79" si="24">SUM(E77:E78)</f>
        <v>0</v>
      </c>
      <c r="F79" s="7">
        <f t="shared" si="24"/>
        <v>0</v>
      </c>
      <c r="G79" s="7">
        <f t="shared" si="24"/>
        <v>0</v>
      </c>
      <c r="H79" s="7">
        <f t="shared" si="24"/>
        <v>0</v>
      </c>
      <c r="I79" s="7">
        <f t="shared" si="24"/>
        <v>100000</v>
      </c>
      <c r="J79" s="52">
        <f t="shared" si="24"/>
        <v>0</v>
      </c>
      <c r="K79" s="7">
        <f t="shared" si="24"/>
        <v>100000</v>
      </c>
    </row>
    <row r="80" spans="1:11" s="14" customFormat="1" x14ac:dyDescent="0.3">
      <c r="A80" s="281" t="s">
        <v>58</v>
      </c>
      <c r="B80" s="280" t="s">
        <v>46</v>
      </c>
      <c r="C80" s="15" t="s">
        <v>29</v>
      </c>
      <c r="D80" s="24">
        <v>410400</v>
      </c>
      <c r="E80" s="11"/>
      <c r="F80" s="11"/>
      <c r="G80" s="11"/>
      <c r="H80" s="11"/>
      <c r="I80" s="20">
        <f t="shared" ref="I80:I87" si="25">D80+E80+F80+G80+H80</f>
        <v>410400</v>
      </c>
      <c r="J80" s="51">
        <v>104600</v>
      </c>
      <c r="K80" s="3">
        <f t="shared" ref="K80:K87" si="26">I80-J80</f>
        <v>305800</v>
      </c>
    </row>
    <row r="81" spans="1:11" s="14" customFormat="1" x14ac:dyDescent="0.3">
      <c r="A81" s="282"/>
      <c r="B81" s="286"/>
      <c r="C81" s="15" t="s">
        <v>31</v>
      </c>
      <c r="D81" s="24">
        <v>76266</v>
      </c>
      <c r="E81" s="11"/>
      <c r="F81" s="11"/>
      <c r="G81" s="11"/>
      <c r="H81" s="11"/>
      <c r="I81" s="20">
        <f t="shared" si="25"/>
        <v>76266</v>
      </c>
      <c r="J81" s="51">
        <v>20397</v>
      </c>
      <c r="K81" s="3">
        <f t="shared" si="26"/>
        <v>55869</v>
      </c>
    </row>
    <row r="82" spans="1:11" s="14" customFormat="1" x14ac:dyDescent="0.3">
      <c r="A82" s="281" t="s">
        <v>59</v>
      </c>
      <c r="B82" s="280" t="s">
        <v>23</v>
      </c>
      <c r="C82" s="15" t="s">
        <v>29</v>
      </c>
      <c r="D82" s="24">
        <v>603600</v>
      </c>
      <c r="E82" s="11"/>
      <c r="F82" s="11"/>
      <c r="G82" s="11"/>
      <c r="H82" s="11"/>
      <c r="I82" s="20">
        <f t="shared" si="25"/>
        <v>603600</v>
      </c>
      <c r="J82" s="51">
        <v>103300</v>
      </c>
      <c r="K82" s="3">
        <f t="shared" si="26"/>
        <v>500300</v>
      </c>
    </row>
    <row r="83" spans="1:11" s="14" customFormat="1" x14ac:dyDescent="0.3">
      <c r="A83" s="282"/>
      <c r="B83" s="286"/>
      <c r="C83" s="15" t="s">
        <v>31</v>
      </c>
      <c r="D83" s="24">
        <v>112169</v>
      </c>
      <c r="E83" s="11"/>
      <c r="F83" s="11"/>
      <c r="G83" s="11"/>
      <c r="H83" s="11"/>
      <c r="I83" s="20">
        <f t="shared" si="25"/>
        <v>112169</v>
      </c>
      <c r="J83" s="51">
        <v>20143</v>
      </c>
      <c r="K83" s="3">
        <f t="shared" si="26"/>
        <v>92026</v>
      </c>
    </row>
    <row r="84" spans="1:11" s="14" customFormat="1" x14ac:dyDescent="0.3">
      <c r="A84" s="281" t="s">
        <v>60</v>
      </c>
      <c r="B84" s="280" t="s">
        <v>23</v>
      </c>
      <c r="C84" s="15" t="s">
        <v>24</v>
      </c>
      <c r="D84" s="24">
        <v>10676226</v>
      </c>
      <c r="E84" s="11"/>
      <c r="F84" s="11"/>
      <c r="G84" s="11"/>
      <c r="H84" s="11"/>
      <c r="I84" s="20">
        <f t="shared" si="25"/>
        <v>10676226</v>
      </c>
      <c r="J84" s="51">
        <v>2487627</v>
      </c>
      <c r="K84" s="3">
        <f t="shared" si="26"/>
        <v>8188599</v>
      </c>
    </row>
    <row r="85" spans="1:11" s="14" customFormat="1" x14ac:dyDescent="0.3">
      <c r="A85" s="282"/>
      <c r="B85" s="286"/>
      <c r="C85" s="15" t="s">
        <v>31</v>
      </c>
      <c r="D85" s="24">
        <v>1989265</v>
      </c>
      <c r="E85" s="11"/>
      <c r="F85" s="11"/>
      <c r="G85" s="11"/>
      <c r="H85" s="11"/>
      <c r="I85" s="20">
        <f t="shared" si="25"/>
        <v>1989265</v>
      </c>
      <c r="J85" s="51">
        <v>485087</v>
      </c>
      <c r="K85" s="3">
        <f t="shared" si="26"/>
        <v>1504178</v>
      </c>
    </row>
    <row r="86" spans="1:11" s="14" customFormat="1" x14ac:dyDescent="0.3">
      <c r="A86" s="281" t="s">
        <v>61</v>
      </c>
      <c r="B86" s="280" t="s">
        <v>46</v>
      </c>
      <c r="C86" s="15" t="s">
        <v>24</v>
      </c>
      <c r="D86" s="24">
        <v>8397674</v>
      </c>
      <c r="E86" s="11"/>
      <c r="F86" s="11"/>
      <c r="G86" s="11"/>
      <c r="H86" s="11"/>
      <c r="I86" s="20">
        <f t="shared" si="25"/>
        <v>8397674</v>
      </c>
      <c r="J86" s="51">
        <v>1861295</v>
      </c>
      <c r="K86" s="3">
        <f t="shared" si="26"/>
        <v>6536379</v>
      </c>
    </row>
    <row r="87" spans="1:11" s="14" customFormat="1" x14ac:dyDescent="0.3">
      <c r="A87" s="282"/>
      <c r="B87" s="286"/>
      <c r="C87" s="15" t="s">
        <v>31</v>
      </c>
      <c r="D87" s="24">
        <v>1563353</v>
      </c>
      <c r="E87" s="11"/>
      <c r="F87" s="11"/>
      <c r="G87" s="11"/>
      <c r="H87" s="11"/>
      <c r="I87" s="20">
        <f t="shared" si="25"/>
        <v>1563353</v>
      </c>
      <c r="J87" s="51">
        <v>362952</v>
      </c>
      <c r="K87" s="3">
        <f t="shared" si="26"/>
        <v>1200401</v>
      </c>
    </row>
    <row r="88" spans="1:11" s="30" customFormat="1" ht="27" customHeight="1" x14ac:dyDescent="0.3">
      <c r="A88" s="257" t="s">
        <v>76</v>
      </c>
      <c r="B88" s="258"/>
      <c r="C88" s="259"/>
      <c r="D88" s="22">
        <f t="shared" ref="D88:K88" si="27">SUM(D32+D33+D48+D51+D61+D62+D76+D79+D80+D81+D82+D83+D84+D85+D86+D87)</f>
        <v>118207303</v>
      </c>
      <c r="E88" s="22">
        <f t="shared" si="27"/>
        <v>-536254</v>
      </c>
      <c r="F88" s="22">
        <f t="shared" si="27"/>
        <v>0</v>
      </c>
      <c r="G88" s="22">
        <f t="shared" si="27"/>
        <v>0</v>
      </c>
      <c r="H88" s="22">
        <f t="shared" si="27"/>
        <v>0</v>
      </c>
      <c r="I88" s="22">
        <f t="shared" si="27"/>
        <v>117671049</v>
      </c>
      <c r="J88" s="54">
        <f t="shared" si="27"/>
        <v>23590973</v>
      </c>
      <c r="K88" s="22">
        <f t="shared" si="27"/>
        <v>94080076</v>
      </c>
    </row>
    <row r="89" spans="1:11" x14ac:dyDescent="0.3">
      <c r="A89" s="254" t="s">
        <v>12</v>
      </c>
      <c r="B89" s="261" t="s">
        <v>23</v>
      </c>
      <c r="C89" s="2" t="s">
        <v>24</v>
      </c>
      <c r="D89" s="3">
        <v>4811583</v>
      </c>
      <c r="E89" s="3"/>
      <c r="F89" s="3"/>
      <c r="G89" s="3"/>
      <c r="H89" s="3"/>
      <c r="I89" s="20">
        <f t="shared" ref="I89:I95" si="28">D89+E89+F89+G89+H89</f>
        <v>4811583</v>
      </c>
      <c r="J89" s="51">
        <v>1140999</v>
      </c>
      <c r="K89" s="3">
        <f t="shared" ref="K89:K95" si="29">I89-J89</f>
        <v>3670584</v>
      </c>
    </row>
    <row r="90" spans="1:11" x14ac:dyDescent="0.3">
      <c r="A90" s="254"/>
      <c r="B90" s="261"/>
      <c r="C90" s="2" t="s">
        <v>25</v>
      </c>
      <c r="D90" s="3">
        <v>200000</v>
      </c>
      <c r="E90" s="3"/>
      <c r="F90" s="3"/>
      <c r="G90" s="3"/>
      <c r="H90" s="3"/>
      <c r="I90" s="20">
        <f t="shared" si="28"/>
        <v>200000</v>
      </c>
      <c r="J90" s="51">
        <v>0</v>
      </c>
      <c r="K90" s="3">
        <f t="shared" si="29"/>
        <v>200000</v>
      </c>
    </row>
    <row r="91" spans="1:11" x14ac:dyDescent="0.3">
      <c r="A91" s="254"/>
      <c r="B91" s="261"/>
      <c r="C91" s="2" t="s">
        <v>26</v>
      </c>
      <c r="D91" s="3">
        <v>10000</v>
      </c>
      <c r="E91" s="3"/>
      <c r="F91" s="3"/>
      <c r="G91" s="3"/>
      <c r="H91" s="3"/>
      <c r="I91" s="20">
        <f t="shared" si="28"/>
        <v>10000</v>
      </c>
      <c r="J91" s="51">
        <v>0</v>
      </c>
      <c r="K91" s="3">
        <f t="shared" si="29"/>
        <v>10000</v>
      </c>
    </row>
    <row r="92" spans="1:11" x14ac:dyDescent="0.3">
      <c r="A92" s="254"/>
      <c r="B92" s="261"/>
      <c r="C92" s="2" t="s">
        <v>27</v>
      </c>
      <c r="D92" s="3">
        <v>198000</v>
      </c>
      <c r="E92" s="3"/>
      <c r="F92" s="3"/>
      <c r="G92" s="3"/>
      <c r="H92" s="3"/>
      <c r="I92" s="20">
        <f t="shared" si="28"/>
        <v>198000</v>
      </c>
      <c r="J92" s="51">
        <v>17010</v>
      </c>
      <c r="K92" s="3">
        <f t="shared" si="29"/>
        <v>180990</v>
      </c>
    </row>
    <row r="93" spans="1:11" x14ac:dyDescent="0.3">
      <c r="A93" s="254"/>
      <c r="B93" s="261"/>
      <c r="C93" s="2" t="s">
        <v>28</v>
      </c>
      <c r="D93" s="3">
        <v>24000</v>
      </c>
      <c r="E93" s="3"/>
      <c r="F93" s="3"/>
      <c r="G93" s="3"/>
      <c r="H93" s="3"/>
      <c r="I93" s="20">
        <f t="shared" si="28"/>
        <v>24000</v>
      </c>
      <c r="J93" s="51">
        <v>0</v>
      </c>
      <c r="K93" s="3">
        <f t="shared" si="29"/>
        <v>24000</v>
      </c>
    </row>
    <row r="94" spans="1:11" x14ac:dyDescent="0.3">
      <c r="A94" s="254"/>
      <c r="B94" s="261"/>
      <c r="C94" s="2" t="s">
        <v>29</v>
      </c>
      <c r="D94" s="3">
        <v>75000</v>
      </c>
      <c r="E94" s="3"/>
      <c r="F94" s="3"/>
      <c r="G94" s="3"/>
      <c r="H94" s="3"/>
      <c r="I94" s="20">
        <f t="shared" si="28"/>
        <v>75000</v>
      </c>
      <c r="J94" s="51">
        <v>0</v>
      </c>
      <c r="K94" s="3">
        <f t="shared" si="29"/>
        <v>75000</v>
      </c>
    </row>
    <row r="95" spans="1:11" x14ac:dyDescent="0.3">
      <c r="A95" s="254"/>
      <c r="B95" s="261"/>
      <c r="C95" s="2" t="s">
        <v>30</v>
      </c>
      <c r="D95" s="3">
        <v>0</v>
      </c>
      <c r="E95" s="3"/>
      <c r="F95" s="3"/>
      <c r="G95" s="3"/>
      <c r="H95" s="3"/>
      <c r="I95" s="20">
        <f t="shared" si="28"/>
        <v>0</v>
      </c>
      <c r="J95" s="51">
        <v>0</v>
      </c>
      <c r="K95" s="3">
        <f t="shared" si="29"/>
        <v>0</v>
      </c>
    </row>
    <row r="96" spans="1:11" x14ac:dyDescent="0.3">
      <c r="A96" s="254"/>
      <c r="B96" s="261"/>
      <c r="C96" s="6" t="s">
        <v>53</v>
      </c>
      <c r="D96" s="7">
        <f>SUM(D89:D95)</f>
        <v>5318583</v>
      </c>
      <c r="E96" s="7">
        <f t="shared" ref="E96:K96" si="30">SUM(E89:E95)</f>
        <v>0</v>
      </c>
      <c r="F96" s="7">
        <f t="shared" si="30"/>
        <v>0</v>
      </c>
      <c r="G96" s="7">
        <f t="shared" si="30"/>
        <v>0</v>
      </c>
      <c r="H96" s="7">
        <f t="shared" si="30"/>
        <v>0</v>
      </c>
      <c r="I96" s="7">
        <f t="shared" si="30"/>
        <v>5318583</v>
      </c>
      <c r="J96" s="52">
        <f t="shared" si="30"/>
        <v>1158009</v>
      </c>
      <c r="K96" s="7">
        <f t="shared" si="30"/>
        <v>4160574</v>
      </c>
    </row>
    <row r="97" spans="1:11" x14ac:dyDescent="0.3">
      <c r="A97" s="254"/>
      <c r="B97" s="261"/>
      <c r="C97" s="6" t="s">
        <v>31</v>
      </c>
      <c r="D97" s="7">
        <v>1035556</v>
      </c>
      <c r="E97" s="7"/>
      <c r="F97" s="7"/>
      <c r="G97" s="7"/>
      <c r="H97" s="7"/>
      <c r="I97" s="21">
        <f t="shared" ref="I97" si="31">D97+E97+F97+G97+H97</f>
        <v>1035556</v>
      </c>
      <c r="J97" s="53">
        <v>230142</v>
      </c>
      <c r="K97" s="8">
        <f t="shared" ref="K97" si="32">I97-J97</f>
        <v>805414</v>
      </c>
    </row>
    <row r="98" spans="1:11" x14ac:dyDescent="0.3">
      <c r="A98" s="254"/>
      <c r="B98" s="261"/>
      <c r="C98" s="2" t="s">
        <v>32</v>
      </c>
      <c r="D98" s="3">
        <v>100000</v>
      </c>
      <c r="E98" s="3"/>
      <c r="F98" s="3"/>
      <c r="G98" s="3"/>
      <c r="H98" s="3"/>
      <c r="I98" s="20">
        <f t="shared" ref="I98:I107" si="33">D98+E98+F98+G98+H98</f>
        <v>100000</v>
      </c>
      <c r="J98" s="51">
        <v>0</v>
      </c>
      <c r="K98" s="3">
        <f t="shared" ref="K98:K107" si="34">I98-J98</f>
        <v>100000</v>
      </c>
    </row>
    <row r="99" spans="1:11" x14ac:dyDescent="0.3">
      <c r="A99" s="254"/>
      <c r="B99" s="261"/>
      <c r="C99" s="2" t="s">
        <v>33</v>
      </c>
      <c r="D99" s="3">
        <v>100000</v>
      </c>
      <c r="E99" s="3"/>
      <c r="F99" s="3"/>
      <c r="G99" s="3"/>
      <c r="H99" s="3"/>
      <c r="I99" s="20">
        <f t="shared" si="33"/>
        <v>100000</v>
      </c>
      <c r="J99" s="51">
        <v>0</v>
      </c>
      <c r="K99" s="3">
        <f t="shared" si="34"/>
        <v>100000</v>
      </c>
    </row>
    <row r="100" spans="1:11" x14ac:dyDescent="0.3">
      <c r="A100" s="254"/>
      <c r="B100" s="261"/>
      <c r="C100" s="2" t="s">
        <v>34</v>
      </c>
      <c r="D100" s="3">
        <v>210000</v>
      </c>
      <c r="E100" s="3"/>
      <c r="F100" s="3"/>
      <c r="G100" s="3"/>
      <c r="H100" s="3"/>
      <c r="I100" s="20">
        <f t="shared" si="33"/>
        <v>210000</v>
      </c>
      <c r="J100" s="51">
        <v>0</v>
      </c>
      <c r="K100" s="3">
        <f t="shared" si="34"/>
        <v>210000</v>
      </c>
    </row>
    <row r="101" spans="1:11" x14ac:dyDescent="0.3">
      <c r="A101" s="254"/>
      <c r="B101" s="261"/>
      <c r="C101" s="2" t="s">
        <v>35</v>
      </c>
      <c r="D101" s="3">
        <v>110000</v>
      </c>
      <c r="E101" s="3"/>
      <c r="F101" s="3"/>
      <c r="G101" s="3"/>
      <c r="H101" s="3"/>
      <c r="I101" s="20">
        <f t="shared" si="33"/>
        <v>110000</v>
      </c>
      <c r="J101" s="51">
        <v>0</v>
      </c>
      <c r="K101" s="3">
        <f t="shared" si="34"/>
        <v>110000</v>
      </c>
    </row>
    <row r="102" spans="1:11" x14ac:dyDescent="0.3">
      <c r="A102" s="254"/>
      <c r="B102" s="261"/>
      <c r="C102" s="2" t="s">
        <v>36</v>
      </c>
      <c r="D102" s="3">
        <v>500000</v>
      </c>
      <c r="E102" s="3"/>
      <c r="F102" s="3"/>
      <c r="G102" s="3"/>
      <c r="H102" s="3"/>
      <c r="I102" s="20">
        <f t="shared" si="33"/>
        <v>500000</v>
      </c>
      <c r="J102" s="51">
        <v>188625</v>
      </c>
      <c r="K102" s="3">
        <f t="shared" si="34"/>
        <v>311375</v>
      </c>
    </row>
    <row r="103" spans="1:11" x14ac:dyDescent="0.3">
      <c r="A103" s="254"/>
      <c r="B103" s="261"/>
      <c r="C103" s="2" t="s">
        <v>38</v>
      </c>
      <c r="D103" s="3">
        <v>140000</v>
      </c>
      <c r="E103" s="3"/>
      <c r="F103" s="3"/>
      <c r="G103" s="3"/>
      <c r="H103" s="3"/>
      <c r="I103" s="20">
        <f t="shared" si="33"/>
        <v>140000</v>
      </c>
      <c r="J103" s="51">
        <v>0</v>
      </c>
      <c r="K103" s="3">
        <f t="shared" si="34"/>
        <v>140000</v>
      </c>
    </row>
    <row r="104" spans="1:11" x14ac:dyDescent="0.3">
      <c r="A104" s="254"/>
      <c r="B104" s="261"/>
      <c r="C104" s="2" t="s">
        <v>40</v>
      </c>
      <c r="D104" s="3">
        <v>16800</v>
      </c>
      <c r="E104" s="3"/>
      <c r="F104" s="3"/>
      <c r="G104" s="3"/>
      <c r="H104" s="3"/>
      <c r="I104" s="20">
        <f t="shared" si="33"/>
        <v>16800</v>
      </c>
      <c r="J104" s="51">
        <v>0</v>
      </c>
      <c r="K104" s="3">
        <f t="shared" si="34"/>
        <v>16800</v>
      </c>
    </row>
    <row r="105" spans="1:11" x14ac:dyDescent="0.3">
      <c r="A105" s="254"/>
      <c r="B105" s="261"/>
      <c r="C105" s="2" t="s">
        <v>41</v>
      </c>
      <c r="D105" s="3">
        <v>80000</v>
      </c>
      <c r="E105" s="3"/>
      <c r="F105" s="3"/>
      <c r="G105" s="3"/>
      <c r="H105" s="3"/>
      <c r="I105" s="20">
        <f t="shared" si="33"/>
        <v>80000</v>
      </c>
      <c r="J105" s="51">
        <v>25900</v>
      </c>
      <c r="K105" s="3">
        <f t="shared" si="34"/>
        <v>54100</v>
      </c>
    </row>
    <row r="106" spans="1:11" x14ac:dyDescent="0.3">
      <c r="A106" s="254"/>
      <c r="B106" s="261"/>
      <c r="C106" s="2" t="s">
        <v>42</v>
      </c>
      <c r="D106" s="3">
        <v>240000</v>
      </c>
      <c r="E106" s="3"/>
      <c r="F106" s="3"/>
      <c r="G106" s="3"/>
      <c r="H106" s="3"/>
      <c r="I106" s="20">
        <f t="shared" si="33"/>
        <v>240000</v>
      </c>
      <c r="J106" s="51">
        <v>38125</v>
      </c>
      <c r="K106" s="3">
        <f t="shared" si="34"/>
        <v>201875</v>
      </c>
    </row>
    <row r="107" spans="1:11" x14ac:dyDescent="0.3">
      <c r="A107" s="254"/>
      <c r="B107" s="261"/>
      <c r="C107" s="2" t="s">
        <v>44</v>
      </c>
      <c r="D107" s="3">
        <v>200600</v>
      </c>
      <c r="E107" s="3"/>
      <c r="F107" s="3"/>
      <c r="G107" s="3"/>
      <c r="H107" s="3"/>
      <c r="I107" s="20">
        <f t="shared" si="33"/>
        <v>200600</v>
      </c>
      <c r="J107" s="51">
        <v>16424</v>
      </c>
      <c r="K107" s="3">
        <f t="shared" si="34"/>
        <v>184176</v>
      </c>
    </row>
    <row r="108" spans="1:11" x14ac:dyDescent="0.3">
      <c r="A108" s="254"/>
      <c r="B108" s="261"/>
      <c r="C108" s="6" t="s">
        <v>49</v>
      </c>
      <c r="D108" s="7">
        <f>SUM(D98:D107)</f>
        <v>1697400</v>
      </c>
      <c r="E108" s="7">
        <f t="shared" ref="E108:K108" si="35">SUM(E98:E107)</f>
        <v>0</v>
      </c>
      <c r="F108" s="7">
        <f t="shared" si="35"/>
        <v>0</v>
      </c>
      <c r="G108" s="7">
        <f t="shared" si="35"/>
        <v>0</v>
      </c>
      <c r="H108" s="7">
        <f t="shared" si="35"/>
        <v>0</v>
      </c>
      <c r="I108" s="7">
        <f t="shared" si="35"/>
        <v>1697400</v>
      </c>
      <c r="J108" s="52">
        <f t="shared" si="35"/>
        <v>269074</v>
      </c>
      <c r="K108" s="7">
        <f t="shared" si="35"/>
        <v>1428326</v>
      </c>
    </row>
    <row r="109" spans="1:11" x14ac:dyDescent="0.3">
      <c r="A109" s="262" t="s">
        <v>62</v>
      </c>
      <c r="B109" s="264" t="s">
        <v>23</v>
      </c>
      <c r="C109" s="15" t="s">
        <v>29</v>
      </c>
      <c r="D109" s="24">
        <v>111600</v>
      </c>
      <c r="E109" s="11"/>
      <c r="F109" s="11"/>
      <c r="G109" s="11"/>
      <c r="H109" s="11"/>
      <c r="I109" s="20">
        <f t="shared" ref="I109:I112" si="36">D109+E109+F109+G109+H109</f>
        <v>111600</v>
      </c>
      <c r="J109" s="51">
        <v>19900</v>
      </c>
      <c r="K109" s="3">
        <f t="shared" ref="K109:K112" si="37">I109-J109</f>
        <v>91700</v>
      </c>
    </row>
    <row r="110" spans="1:11" x14ac:dyDescent="0.3">
      <c r="A110" s="263"/>
      <c r="B110" s="265"/>
      <c r="C110" s="15" t="s">
        <v>31</v>
      </c>
      <c r="D110" s="24">
        <v>20739</v>
      </c>
      <c r="E110" s="11"/>
      <c r="F110" s="11"/>
      <c r="G110" s="11"/>
      <c r="H110" s="11"/>
      <c r="I110" s="20">
        <f t="shared" si="36"/>
        <v>20739</v>
      </c>
      <c r="J110" s="51">
        <v>3879</v>
      </c>
      <c r="K110" s="3">
        <f t="shared" si="37"/>
        <v>16860</v>
      </c>
    </row>
    <row r="111" spans="1:11" x14ac:dyDescent="0.3">
      <c r="A111" s="262" t="s">
        <v>63</v>
      </c>
      <c r="B111" s="264" t="s">
        <v>23</v>
      </c>
      <c r="C111" s="15" t="s">
        <v>24</v>
      </c>
      <c r="D111" s="24">
        <v>1460272</v>
      </c>
      <c r="E111" s="11"/>
      <c r="F111" s="11"/>
      <c r="G111" s="11"/>
      <c r="H111" s="11"/>
      <c r="I111" s="20">
        <f t="shared" si="36"/>
        <v>1460272</v>
      </c>
      <c r="J111" s="51">
        <v>371607</v>
      </c>
      <c r="K111" s="3">
        <f t="shared" si="37"/>
        <v>1088665</v>
      </c>
    </row>
    <row r="112" spans="1:11" x14ac:dyDescent="0.3">
      <c r="A112" s="263"/>
      <c r="B112" s="265"/>
      <c r="C112" s="15" t="s">
        <v>31</v>
      </c>
      <c r="D112" s="24">
        <v>272168</v>
      </c>
      <c r="E112" s="11"/>
      <c r="F112" s="11"/>
      <c r="G112" s="11"/>
      <c r="H112" s="11"/>
      <c r="I112" s="20">
        <f t="shared" si="36"/>
        <v>272168</v>
      </c>
      <c r="J112" s="51">
        <v>72464</v>
      </c>
      <c r="K112" s="3">
        <f t="shared" si="37"/>
        <v>199704</v>
      </c>
    </row>
    <row r="113" spans="1:11" s="23" customFormat="1" ht="27" customHeight="1" x14ac:dyDescent="0.3">
      <c r="A113" s="257" t="s">
        <v>77</v>
      </c>
      <c r="B113" s="258"/>
      <c r="C113" s="259"/>
      <c r="D113" s="22">
        <f>SUM(D96+D97+D108+D109+D110+D111+D112)</f>
        <v>9916318</v>
      </c>
      <c r="E113" s="22">
        <f t="shared" ref="E113:K113" si="38">SUM(E96+E97+E108+E109+E110+E111+E112)</f>
        <v>0</v>
      </c>
      <c r="F113" s="22">
        <f t="shared" si="38"/>
        <v>0</v>
      </c>
      <c r="G113" s="22">
        <f t="shared" si="38"/>
        <v>0</v>
      </c>
      <c r="H113" s="22">
        <f t="shared" si="38"/>
        <v>0</v>
      </c>
      <c r="I113" s="22">
        <f t="shared" si="38"/>
        <v>9916318</v>
      </c>
      <c r="J113" s="54">
        <f t="shared" si="38"/>
        <v>2125075</v>
      </c>
      <c r="K113" s="22">
        <f t="shared" si="38"/>
        <v>7791243</v>
      </c>
    </row>
    <row r="114" spans="1:11" x14ac:dyDescent="0.3">
      <c r="A114" s="254" t="s">
        <v>13</v>
      </c>
      <c r="B114" s="261" t="s">
        <v>23</v>
      </c>
      <c r="C114" s="2" t="s">
        <v>24</v>
      </c>
      <c r="D114" s="3">
        <v>4871210</v>
      </c>
      <c r="E114" s="3"/>
      <c r="F114" s="3"/>
      <c r="G114" s="3"/>
      <c r="H114" s="3"/>
      <c r="I114" s="20">
        <f t="shared" ref="I114:I119" si="39">D114+E114+F114+G114+H114</f>
        <v>4871210</v>
      </c>
      <c r="J114" s="51">
        <v>1176501</v>
      </c>
      <c r="K114" s="3">
        <f t="shared" ref="K114:K119" si="40">I114-J114</f>
        <v>3694709</v>
      </c>
    </row>
    <row r="115" spans="1:11" x14ac:dyDescent="0.3">
      <c r="A115" s="254"/>
      <c r="B115" s="261"/>
      <c r="C115" s="2" t="s">
        <v>25</v>
      </c>
      <c r="D115" s="3">
        <v>200000</v>
      </c>
      <c r="E115" s="3"/>
      <c r="F115" s="3"/>
      <c r="G115" s="3"/>
      <c r="H115" s="3"/>
      <c r="I115" s="20">
        <f t="shared" si="39"/>
        <v>200000</v>
      </c>
      <c r="J115" s="51">
        <v>0</v>
      </c>
      <c r="K115" s="3">
        <f t="shared" si="40"/>
        <v>200000</v>
      </c>
    </row>
    <row r="116" spans="1:11" x14ac:dyDescent="0.3">
      <c r="A116" s="254"/>
      <c r="B116" s="261"/>
      <c r="C116" s="2" t="s">
        <v>26</v>
      </c>
      <c r="D116" s="3">
        <v>10000</v>
      </c>
      <c r="E116" s="3"/>
      <c r="F116" s="3"/>
      <c r="G116" s="3"/>
      <c r="H116" s="3"/>
      <c r="I116" s="20">
        <f t="shared" si="39"/>
        <v>10000</v>
      </c>
      <c r="J116" s="51">
        <v>0</v>
      </c>
      <c r="K116" s="3">
        <f t="shared" si="40"/>
        <v>10000</v>
      </c>
    </row>
    <row r="117" spans="1:11" x14ac:dyDescent="0.3">
      <c r="A117" s="254"/>
      <c r="B117" s="261"/>
      <c r="C117" s="2" t="s">
        <v>28</v>
      </c>
      <c r="D117" s="3">
        <v>24000</v>
      </c>
      <c r="E117" s="3"/>
      <c r="F117" s="3"/>
      <c r="G117" s="3"/>
      <c r="H117" s="3"/>
      <c r="I117" s="20">
        <f t="shared" si="39"/>
        <v>24000</v>
      </c>
      <c r="J117" s="51">
        <v>0</v>
      </c>
      <c r="K117" s="3">
        <f t="shared" si="40"/>
        <v>24000</v>
      </c>
    </row>
    <row r="118" spans="1:11" x14ac:dyDescent="0.3">
      <c r="A118" s="254"/>
      <c r="B118" s="261"/>
      <c r="C118" s="2" t="s">
        <v>29</v>
      </c>
      <c r="D118" s="3">
        <v>75000</v>
      </c>
      <c r="E118" s="3"/>
      <c r="F118" s="3"/>
      <c r="G118" s="3"/>
      <c r="H118" s="3"/>
      <c r="I118" s="20">
        <f t="shared" si="39"/>
        <v>75000</v>
      </c>
      <c r="J118" s="51">
        <v>0</v>
      </c>
      <c r="K118" s="3">
        <f t="shared" si="40"/>
        <v>75000</v>
      </c>
    </row>
    <row r="119" spans="1:11" x14ac:dyDescent="0.3">
      <c r="A119" s="254"/>
      <c r="B119" s="261"/>
      <c r="C119" s="2" t="s">
        <v>30</v>
      </c>
      <c r="D119" s="3">
        <v>0</v>
      </c>
      <c r="E119" s="3"/>
      <c r="F119" s="3"/>
      <c r="G119" s="3"/>
      <c r="H119" s="3"/>
      <c r="I119" s="20">
        <f t="shared" si="39"/>
        <v>0</v>
      </c>
      <c r="J119" s="51">
        <v>0</v>
      </c>
      <c r="K119" s="3">
        <f t="shared" si="40"/>
        <v>0</v>
      </c>
    </row>
    <row r="120" spans="1:11" x14ac:dyDescent="0.3">
      <c r="A120" s="254"/>
      <c r="B120" s="261"/>
      <c r="C120" s="6" t="s">
        <v>53</v>
      </c>
      <c r="D120" s="7">
        <f>SUM(D114:D119)</f>
        <v>5180210</v>
      </c>
      <c r="E120" s="7">
        <f t="shared" ref="E120:K120" si="41">SUM(E114:E119)</f>
        <v>0</v>
      </c>
      <c r="F120" s="7">
        <f t="shared" si="41"/>
        <v>0</v>
      </c>
      <c r="G120" s="7">
        <f t="shared" si="41"/>
        <v>0</v>
      </c>
      <c r="H120" s="7">
        <f t="shared" si="41"/>
        <v>0</v>
      </c>
      <c r="I120" s="7">
        <f t="shared" si="41"/>
        <v>5180210</v>
      </c>
      <c r="J120" s="52">
        <f t="shared" si="41"/>
        <v>1176501</v>
      </c>
      <c r="K120" s="7">
        <f t="shared" si="41"/>
        <v>4003709</v>
      </c>
    </row>
    <row r="121" spans="1:11" x14ac:dyDescent="0.3">
      <c r="A121" s="254"/>
      <c r="B121" s="261"/>
      <c r="C121" s="6" t="s">
        <v>31</v>
      </c>
      <c r="D121" s="7">
        <v>1046402</v>
      </c>
      <c r="E121" s="7"/>
      <c r="F121" s="7"/>
      <c r="G121" s="7"/>
      <c r="H121" s="7"/>
      <c r="I121" s="21">
        <f t="shared" ref="I121" si="42">D121+E121+F121+G121+H121</f>
        <v>1046402</v>
      </c>
      <c r="J121" s="53">
        <v>237064</v>
      </c>
      <c r="K121" s="8">
        <f t="shared" ref="K121" si="43">I121-J121</f>
        <v>809338</v>
      </c>
    </row>
    <row r="122" spans="1:11" x14ac:dyDescent="0.3">
      <c r="A122" s="254"/>
      <c r="B122" s="261"/>
      <c r="C122" s="2" t="s">
        <v>32</v>
      </c>
      <c r="D122" s="3">
        <v>50000</v>
      </c>
      <c r="E122" s="3"/>
      <c r="F122" s="3"/>
      <c r="G122" s="3"/>
      <c r="H122" s="3"/>
      <c r="I122" s="20">
        <f t="shared" ref="I122:I129" si="44">D122+E122+F122+G122+H122</f>
        <v>50000</v>
      </c>
      <c r="J122" s="51">
        <v>0</v>
      </c>
      <c r="K122" s="3">
        <f t="shared" ref="K122:K129" si="45">I122-J122</f>
        <v>50000</v>
      </c>
    </row>
    <row r="123" spans="1:11" x14ac:dyDescent="0.3">
      <c r="A123" s="254"/>
      <c r="B123" s="261"/>
      <c r="C123" s="2" t="s">
        <v>33</v>
      </c>
      <c r="D123" s="3">
        <v>100000</v>
      </c>
      <c r="E123" s="3"/>
      <c r="F123" s="3"/>
      <c r="G123" s="3"/>
      <c r="H123" s="3"/>
      <c r="I123" s="20">
        <f t="shared" si="44"/>
        <v>100000</v>
      </c>
      <c r="J123" s="51">
        <v>0</v>
      </c>
      <c r="K123" s="3">
        <f t="shared" si="45"/>
        <v>100000</v>
      </c>
    </row>
    <row r="124" spans="1:11" x14ac:dyDescent="0.3">
      <c r="A124" s="254"/>
      <c r="B124" s="261"/>
      <c r="C124" s="2" t="s">
        <v>34</v>
      </c>
      <c r="D124" s="3">
        <v>150000</v>
      </c>
      <c r="E124" s="3">
        <v>-34000</v>
      </c>
      <c r="F124" s="3"/>
      <c r="G124" s="3"/>
      <c r="H124" s="3"/>
      <c r="I124" s="20">
        <f t="shared" si="44"/>
        <v>116000</v>
      </c>
      <c r="J124" s="51">
        <v>0</v>
      </c>
      <c r="K124" s="3">
        <f t="shared" si="45"/>
        <v>116000</v>
      </c>
    </row>
    <row r="125" spans="1:11" x14ac:dyDescent="0.3">
      <c r="A125" s="254"/>
      <c r="B125" s="261"/>
      <c r="C125" s="2" t="s">
        <v>38</v>
      </c>
      <c r="D125" s="3">
        <v>50000</v>
      </c>
      <c r="E125" s="3"/>
      <c r="F125" s="3"/>
      <c r="G125" s="3"/>
      <c r="H125" s="3"/>
      <c r="I125" s="20">
        <f t="shared" si="44"/>
        <v>50000</v>
      </c>
      <c r="J125" s="51">
        <v>0</v>
      </c>
      <c r="K125" s="3">
        <f t="shared" si="45"/>
        <v>50000</v>
      </c>
    </row>
    <row r="126" spans="1:11" x14ac:dyDescent="0.3">
      <c r="A126" s="254"/>
      <c r="B126" s="261"/>
      <c r="C126" s="2" t="s">
        <v>40</v>
      </c>
      <c r="D126" s="3">
        <v>16800</v>
      </c>
      <c r="E126" s="3"/>
      <c r="F126" s="3"/>
      <c r="G126" s="3"/>
      <c r="H126" s="3"/>
      <c r="I126" s="20">
        <f t="shared" si="44"/>
        <v>16800</v>
      </c>
      <c r="J126" s="51">
        <v>0</v>
      </c>
      <c r="K126" s="3">
        <f t="shared" si="45"/>
        <v>16800</v>
      </c>
    </row>
    <row r="127" spans="1:11" x14ac:dyDescent="0.3">
      <c r="A127" s="254"/>
      <c r="B127" s="261"/>
      <c r="C127" s="2" t="s">
        <v>41</v>
      </c>
      <c r="D127" s="3">
        <v>0</v>
      </c>
      <c r="E127" s="3">
        <v>34000</v>
      </c>
      <c r="F127" s="3"/>
      <c r="G127" s="3"/>
      <c r="H127" s="3"/>
      <c r="I127" s="20">
        <f t="shared" si="44"/>
        <v>34000</v>
      </c>
      <c r="J127" s="51">
        <v>25900</v>
      </c>
      <c r="K127" s="3">
        <f t="shared" si="45"/>
        <v>8100</v>
      </c>
    </row>
    <row r="128" spans="1:11" x14ac:dyDescent="0.3">
      <c r="A128" s="254"/>
      <c r="B128" s="261"/>
      <c r="C128" s="2" t="s">
        <v>42</v>
      </c>
      <c r="D128" s="3">
        <v>240000</v>
      </c>
      <c r="E128" s="3"/>
      <c r="F128" s="3"/>
      <c r="G128" s="3"/>
      <c r="H128" s="3"/>
      <c r="I128" s="20">
        <f t="shared" si="44"/>
        <v>240000</v>
      </c>
      <c r="J128" s="51">
        <v>37570</v>
      </c>
      <c r="K128" s="3">
        <f t="shared" si="45"/>
        <v>202430</v>
      </c>
    </row>
    <row r="129" spans="1:11" x14ac:dyDescent="0.3">
      <c r="A129" s="254"/>
      <c r="B129" s="261"/>
      <c r="C129" s="2" t="s">
        <v>44</v>
      </c>
      <c r="D129" s="3">
        <v>94500</v>
      </c>
      <c r="E129" s="3"/>
      <c r="F129" s="3"/>
      <c r="G129" s="3"/>
      <c r="H129" s="3"/>
      <c r="I129" s="20">
        <f t="shared" si="44"/>
        <v>94500</v>
      </c>
      <c r="J129" s="51">
        <v>6993</v>
      </c>
      <c r="K129" s="3">
        <f t="shared" si="45"/>
        <v>87507</v>
      </c>
    </row>
    <row r="130" spans="1:11" x14ac:dyDescent="0.3">
      <c r="A130" s="254"/>
      <c r="B130" s="261"/>
      <c r="C130" s="6" t="s">
        <v>49</v>
      </c>
      <c r="D130" s="7">
        <f>SUM(D122:D129)</f>
        <v>701300</v>
      </c>
      <c r="E130" s="7">
        <f t="shared" ref="E130:K130" si="46">SUM(E122:E129)</f>
        <v>0</v>
      </c>
      <c r="F130" s="7">
        <f t="shared" si="46"/>
        <v>0</v>
      </c>
      <c r="G130" s="7">
        <f t="shared" si="46"/>
        <v>0</v>
      </c>
      <c r="H130" s="7">
        <f t="shared" si="46"/>
        <v>0</v>
      </c>
      <c r="I130" s="7">
        <f t="shared" si="46"/>
        <v>701300</v>
      </c>
      <c r="J130" s="52">
        <f t="shared" si="46"/>
        <v>70463</v>
      </c>
      <c r="K130" s="7">
        <f t="shared" si="46"/>
        <v>630837</v>
      </c>
    </row>
    <row r="131" spans="1:11" x14ac:dyDescent="0.3">
      <c r="A131" s="262" t="s">
        <v>64</v>
      </c>
      <c r="B131" s="264" t="s">
        <v>23</v>
      </c>
      <c r="C131" s="15" t="s">
        <v>29</v>
      </c>
      <c r="D131" s="24">
        <v>39600</v>
      </c>
      <c r="E131" s="11"/>
      <c r="F131" s="11"/>
      <c r="G131" s="11"/>
      <c r="H131" s="11"/>
      <c r="I131" s="20">
        <f t="shared" ref="I131:I134" si="47">D131+E131+F131+G131+H131</f>
        <v>39600</v>
      </c>
      <c r="J131" s="51">
        <v>9900</v>
      </c>
      <c r="K131" s="3">
        <f t="shared" ref="K131:K134" si="48">I131-J131</f>
        <v>29700</v>
      </c>
    </row>
    <row r="132" spans="1:11" x14ac:dyDescent="0.3">
      <c r="A132" s="263"/>
      <c r="B132" s="265"/>
      <c r="C132" s="15" t="s">
        <v>31</v>
      </c>
      <c r="D132" s="24">
        <v>7359</v>
      </c>
      <c r="E132" s="11"/>
      <c r="F132" s="11"/>
      <c r="G132" s="11"/>
      <c r="H132" s="11"/>
      <c r="I132" s="20">
        <f t="shared" si="47"/>
        <v>7359</v>
      </c>
      <c r="J132" s="51">
        <v>1931</v>
      </c>
      <c r="K132" s="3">
        <f t="shared" si="48"/>
        <v>5428</v>
      </c>
    </row>
    <row r="133" spans="1:11" x14ac:dyDescent="0.3">
      <c r="A133" s="262" t="s">
        <v>65</v>
      </c>
      <c r="B133" s="264" t="s">
        <v>23</v>
      </c>
      <c r="C133" s="15" t="s">
        <v>24</v>
      </c>
      <c r="D133" s="24">
        <v>1357158</v>
      </c>
      <c r="E133" s="11"/>
      <c r="F133" s="11"/>
      <c r="G133" s="11"/>
      <c r="H133" s="11"/>
      <c r="I133" s="20">
        <f t="shared" si="47"/>
        <v>1357158</v>
      </c>
      <c r="J133" s="51">
        <v>339558</v>
      </c>
      <c r="K133" s="3">
        <f t="shared" si="48"/>
        <v>1017600</v>
      </c>
    </row>
    <row r="134" spans="1:11" x14ac:dyDescent="0.3">
      <c r="A134" s="263"/>
      <c r="B134" s="265"/>
      <c r="C134" s="15" t="s">
        <v>31</v>
      </c>
      <c r="D134" s="24">
        <v>253327</v>
      </c>
      <c r="E134" s="11"/>
      <c r="F134" s="11"/>
      <c r="G134" s="11"/>
      <c r="H134" s="11"/>
      <c r="I134" s="20">
        <f t="shared" si="47"/>
        <v>253327</v>
      </c>
      <c r="J134" s="51">
        <v>66214</v>
      </c>
      <c r="K134" s="3">
        <f t="shared" si="48"/>
        <v>187113</v>
      </c>
    </row>
    <row r="135" spans="1:11" ht="27" customHeight="1" x14ac:dyDescent="0.3">
      <c r="A135" s="257" t="s">
        <v>78</v>
      </c>
      <c r="B135" s="258"/>
      <c r="C135" s="259"/>
      <c r="D135" s="22">
        <f>SUM(D120+D121+D130+D131+D132+D133+D134)</f>
        <v>8585356</v>
      </c>
      <c r="E135" s="22">
        <f t="shared" ref="E135:K135" si="49">SUM(E120+E121+E130+E131+E132+E133+E134)</f>
        <v>0</v>
      </c>
      <c r="F135" s="22">
        <f t="shared" si="49"/>
        <v>0</v>
      </c>
      <c r="G135" s="22">
        <f t="shared" si="49"/>
        <v>0</v>
      </c>
      <c r="H135" s="22">
        <f t="shared" si="49"/>
        <v>0</v>
      </c>
      <c r="I135" s="22">
        <f t="shared" si="49"/>
        <v>8585356</v>
      </c>
      <c r="J135" s="54">
        <f t="shared" si="49"/>
        <v>1901631</v>
      </c>
      <c r="K135" s="22">
        <f t="shared" si="49"/>
        <v>6683725</v>
      </c>
    </row>
    <row r="136" spans="1:11" x14ac:dyDescent="0.3">
      <c r="A136" s="254" t="s">
        <v>14</v>
      </c>
      <c r="B136" s="261" t="s">
        <v>23</v>
      </c>
      <c r="C136" s="2" t="s">
        <v>24</v>
      </c>
      <c r="D136" s="3">
        <v>4756797</v>
      </c>
      <c r="E136" s="3">
        <v>-48282</v>
      </c>
      <c r="F136" s="3"/>
      <c r="G136" s="3"/>
      <c r="H136" s="3"/>
      <c r="I136" s="20">
        <f t="shared" ref="I136:I142" si="50">D136+E136+F136+G136+H136</f>
        <v>4708515</v>
      </c>
      <c r="J136" s="51">
        <v>1084245</v>
      </c>
      <c r="K136" s="3">
        <f t="shared" ref="K136:K142" si="51">I136-J136</f>
        <v>3624270</v>
      </c>
    </row>
    <row r="137" spans="1:11" x14ac:dyDescent="0.3">
      <c r="A137" s="254"/>
      <c r="B137" s="261"/>
      <c r="C137" s="2" t="s">
        <v>25</v>
      </c>
      <c r="D137" s="3">
        <v>200000</v>
      </c>
      <c r="E137" s="3"/>
      <c r="F137" s="3"/>
      <c r="G137" s="3"/>
      <c r="H137" s="3"/>
      <c r="I137" s="20">
        <f t="shared" si="50"/>
        <v>200000</v>
      </c>
      <c r="J137" s="51">
        <v>0</v>
      </c>
      <c r="K137" s="3">
        <f t="shared" si="51"/>
        <v>200000</v>
      </c>
    </row>
    <row r="138" spans="1:11" x14ac:dyDescent="0.3">
      <c r="A138" s="254"/>
      <c r="B138" s="261"/>
      <c r="C138" s="2" t="s">
        <v>26</v>
      </c>
      <c r="D138" s="3">
        <v>10000</v>
      </c>
      <c r="E138" s="3"/>
      <c r="F138" s="3"/>
      <c r="G138" s="3"/>
      <c r="H138" s="3"/>
      <c r="I138" s="20">
        <f t="shared" si="50"/>
        <v>10000</v>
      </c>
      <c r="J138" s="51">
        <v>0</v>
      </c>
      <c r="K138" s="3">
        <f t="shared" si="51"/>
        <v>10000</v>
      </c>
    </row>
    <row r="139" spans="1:11" x14ac:dyDescent="0.3">
      <c r="A139" s="254"/>
      <c r="B139" s="261"/>
      <c r="C139" s="2" t="s">
        <v>27</v>
      </c>
      <c r="D139" s="3">
        <v>255000</v>
      </c>
      <c r="E139" s="3"/>
      <c r="F139" s="3"/>
      <c r="G139" s="3"/>
      <c r="H139" s="3"/>
      <c r="I139" s="20">
        <f t="shared" si="50"/>
        <v>255000</v>
      </c>
      <c r="J139" s="51">
        <v>29648</v>
      </c>
      <c r="K139" s="3">
        <f t="shared" si="51"/>
        <v>225352</v>
      </c>
    </row>
    <row r="140" spans="1:11" x14ac:dyDescent="0.3">
      <c r="A140" s="254"/>
      <c r="B140" s="261"/>
      <c r="C140" s="2" t="s">
        <v>28</v>
      </c>
      <c r="D140" s="3">
        <v>24000</v>
      </c>
      <c r="E140" s="3"/>
      <c r="F140" s="3"/>
      <c r="G140" s="3"/>
      <c r="H140" s="3"/>
      <c r="I140" s="20">
        <f t="shared" si="50"/>
        <v>24000</v>
      </c>
      <c r="J140" s="51">
        <v>0</v>
      </c>
      <c r="K140" s="3">
        <f t="shared" si="51"/>
        <v>24000</v>
      </c>
    </row>
    <row r="141" spans="1:11" x14ac:dyDescent="0.3">
      <c r="A141" s="254"/>
      <c r="B141" s="261"/>
      <c r="C141" s="2" t="s">
        <v>29</v>
      </c>
      <c r="D141" s="3">
        <v>0</v>
      </c>
      <c r="E141" s="3">
        <v>48282</v>
      </c>
      <c r="F141" s="3"/>
      <c r="G141" s="3"/>
      <c r="H141" s="3"/>
      <c r="I141" s="20">
        <f t="shared" si="50"/>
        <v>48282</v>
      </c>
      <c r="J141" s="51">
        <v>48282</v>
      </c>
      <c r="K141" s="3">
        <f t="shared" si="51"/>
        <v>0</v>
      </c>
    </row>
    <row r="142" spans="1:11" x14ac:dyDescent="0.3">
      <c r="A142" s="254"/>
      <c r="B142" s="261"/>
      <c r="C142" s="2" t="s">
        <v>30</v>
      </c>
      <c r="D142" s="3">
        <v>0</v>
      </c>
      <c r="E142" s="3"/>
      <c r="F142" s="3"/>
      <c r="G142" s="3"/>
      <c r="H142" s="3"/>
      <c r="I142" s="20">
        <f t="shared" si="50"/>
        <v>0</v>
      </c>
      <c r="J142" s="51">
        <v>0</v>
      </c>
      <c r="K142" s="3">
        <f t="shared" si="51"/>
        <v>0</v>
      </c>
    </row>
    <row r="143" spans="1:11" x14ac:dyDescent="0.3">
      <c r="A143" s="254"/>
      <c r="B143" s="261"/>
      <c r="C143" s="6" t="s">
        <v>53</v>
      </c>
      <c r="D143" s="7">
        <f>SUM(D136:D142)</f>
        <v>5245797</v>
      </c>
      <c r="E143" s="7">
        <f t="shared" ref="E143:K143" si="52">SUM(E136:E142)</f>
        <v>0</v>
      </c>
      <c r="F143" s="7">
        <f t="shared" si="52"/>
        <v>0</v>
      </c>
      <c r="G143" s="7">
        <f t="shared" si="52"/>
        <v>0</v>
      </c>
      <c r="H143" s="7">
        <f t="shared" si="52"/>
        <v>0</v>
      </c>
      <c r="I143" s="7">
        <f t="shared" si="52"/>
        <v>5245797</v>
      </c>
      <c r="J143" s="52">
        <f t="shared" si="52"/>
        <v>1162175</v>
      </c>
      <c r="K143" s="7">
        <f t="shared" si="52"/>
        <v>4083622</v>
      </c>
    </row>
    <row r="144" spans="1:11" x14ac:dyDescent="0.3">
      <c r="A144" s="254"/>
      <c r="B144" s="261"/>
      <c r="C144" s="6" t="s">
        <v>31</v>
      </c>
      <c r="D144" s="7">
        <v>1025121</v>
      </c>
      <c r="E144" s="7"/>
      <c r="F144" s="7"/>
      <c r="G144" s="7"/>
      <c r="H144" s="7"/>
      <c r="I144" s="21">
        <f t="shared" ref="I144" si="53">D144+E144+F144+G144+H144</f>
        <v>1025121</v>
      </c>
      <c r="J144" s="53">
        <v>228491</v>
      </c>
      <c r="K144" s="8">
        <f t="shared" ref="K144" si="54">I144-J144</f>
        <v>796630</v>
      </c>
    </row>
    <row r="145" spans="1:11" x14ac:dyDescent="0.3">
      <c r="A145" s="254"/>
      <c r="B145" s="261"/>
      <c r="C145" s="2" t="s">
        <v>32</v>
      </c>
      <c r="D145" s="3">
        <v>80000</v>
      </c>
      <c r="E145" s="3"/>
      <c r="F145" s="3"/>
      <c r="G145" s="3"/>
      <c r="H145" s="3"/>
      <c r="I145" s="20">
        <f t="shared" ref="I145:I152" si="55">D145+E145+F145+G145+H145</f>
        <v>80000</v>
      </c>
      <c r="J145" s="51">
        <v>0</v>
      </c>
      <c r="K145" s="3">
        <f t="shared" ref="K145:K152" si="56">I145-J145</f>
        <v>80000</v>
      </c>
    </row>
    <row r="146" spans="1:11" x14ac:dyDescent="0.3">
      <c r="A146" s="254"/>
      <c r="B146" s="261"/>
      <c r="C146" s="2" t="s">
        <v>33</v>
      </c>
      <c r="D146" s="3">
        <v>110000</v>
      </c>
      <c r="E146" s="3"/>
      <c r="F146" s="3"/>
      <c r="G146" s="3"/>
      <c r="H146" s="3"/>
      <c r="I146" s="20">
        <f t="shared" si="55"/>
        <v>110000</v>
      </c>
      <c r="J146" s="51">
        <v>0</v>
      </c>
      <c r="K146" s="3">
        <f t="shared" si="56"/>
        <v>110000</v>
      </c>
    </row>
    <row r="147" spans="1:11" x14ac:dyDescent="0.3">
      <c r="A147" s="254"/>
      <c r="B147" s="261"/>
      <c r="C147" s="2" t="s">
        <v>34</v>
      </c>
      <c r="D147" s="3">
        <v>150000</v>
      </c>
      <c r="E147" s="3">
        <v>-14000</v>
      </c>
      <c r="F147" s="3"/>
      <c r="G147" s="3"/>
      <c r="H147" s="3"/>
      <c r="I147" s="20">
        <f t="shared" si="55"/>
        <v>136000</v>
      </c>
      <c r="J147" s="51">
        <v>0</v>
      </c>
      <c r="K147" s="3">
        <f t="shared" si="56"/>
        <v>136000</v>
      </c>
    </row>
    <row r="148" spans="1:11" x14ac:dyDescent="0.3">
      <c r="A148" s="254"/>
      <c r="B148" s="261"/>
      <c r="C148" s="2" t="s">
        <v>38</v>
      </c>
      <c r="D148" s="3">
        <v>144000</v>
      </c>
      <c r="E148" s="3"/>
      <c r="F148" s="3"/>
      <c r="G148" s="3"/>
      <c r="H148" s="3"/>
      <c r="I148" s="20">
        <f t="shared" si="55"/>
        <v>144000</v>
      </c>
      <c r="J148" s="51">
        <v>0</v>
      </c>
      <c r="K148" s="3">
        <f t="shared" si="56"/>
        <v>144000</v>
      </c>
    </row>
    <row r="149" spans="1:11" x14ac:dyDescent="0.3">
      <c r="A149" s="254"/>
      <c r="B149" s="261"/>
      <c r="C149" s="2" t="s">
        <v>40</v>
      </c>
      <c r="D149" s="3">
        <v>16800</v>
      </c>
      <c r="E149" s="3"/>
      <c r="F149" s="3"/>
      <c r="G149" s="3"/>
      <c r="H149" s="3"/>
      <c r="I149" s="20">
        <f t="shared" si="55"/>
        <v>16800</v>
      </c>
      <c r="J149" s="51">
        <v>0</v>
      </c>
      <c r="K149" s="3">
        <f t="shared" si="56"/>
        <v>16800</v>
      </c>
    </row>
    <row r="150" spans="1:11" x14ac:dyDescent="0.3">
      <c r="A150" s="254"/>
      <c r="B150" s="261"/>
      <c r="C150" s="2" t="s">
        <v>41</v>
      </c>
      <c r="D150" s="3">
        <v>40000</v>
      </c>
      <c r="E150" s="3">
        <v>14000</v>
      </c>
      <c r="F150" s="3"/>
      <c r="G150" s="3"/>
      <c r="H150" s="3"/>
      <c r="I150" s="20">
        <f t="shared" si="55"/>
        <v>54000</v>
      </c>
      <c r="J150" s="51">
        <v>45900</v>
      </c>
      <c r="K150" s="3">
        <f t="shared" si="56"/>
        <v>8100</v>
      </c>
    </row>
    <row r="151" spans="1:11" x14ac:dyDescent="0.3">
      <c r="A151" s="254"/>
      <c r="B151" s="261"/>
      <c r="C151" s="2" t="s">
        <v>42</v>
      </c>
      <c r="D151" s="3">
        <v>150000</v>
      </c>
      <c r="E151" s="3"/>
      <c r="F151" s="3"/>
      <c r="G151" s="3"/>
      <c r="H151" s="3"/>
      <c r="I151" s="20">
        <f t="shared" si="55"/>
        <v>150000</v>
      </c>
      <c r="J151" s="51">
        <v>32125</v>
      </c>
      <c r="K151" s="3">
        <f t="shared" si="56"/>
        <v>117875</v>
      </c>
    </row>
    <row r="152" spans="1:11" x14ac:dyDescent="0.3">
      <c r="A152" s="254"/>
      <c r="B152" s="261"/>
      <c r="C152" s="2" t="s">
        <v>44</v>
      </c>
      <c r="D152" s="3">
        <v>141480</v>
      </c>
      <c r="E152" s="3"/>
      <c r="F152" s="3"/>
      <c r="G152" s="3"/>
      <c r="H152" s="3"/>
      <c r="I152" s="20">
        <f t="shared" si="55"/>
        <v>141480</v>
      </c>
      <c r="J152" s="51">
        <v>6993</v>
      </c>
      <c r="K152" s="3">
        <f t="shared" si="56"/>
        <v>134487</v>
      </c>
    </row>
    <row r="153" spans="1:11" x14ac:dyDescent="0.3">
      <c r="A153" s="254"/>
      <c r="B153" s="261"/>
      <c r="C153" s="6" t="s">
        <v>49</v>
      </c>
      <c r="D153" s="7">
        <f>SUM(D145:D152)</f>
        <v>832280</v>
      </c>
      <c r="E153" s="7">
        <f t="shared" ref="E153:K153" si="57">SUM(E145:E152)</f>
        <v>0</v>
      </c>
      <c r="F153" s="7">
        <f t="shared" si="57"/>
        <v>0</v>
      </c>
      <c r="G153" s="7">
        <f t="shared" si="57"/>
        <v>0</v>
      </c>
      <c r="H153" s="7">
        <f t="shared" si="57"/>
        <v>0</v>
      </c>
      <c r="I153" s="7">
        <f t="shared" si="57"/>
        <v>832280</v>
      </c>
      <c r="J153" s="52">
        <f t="shared" si="57"/>
        <v>85018</v>
      </c>
      <c r="K153" s="7">
        <f t="shared" si="57"/>
        <v>747262</v>
      </c>
    </row>
    <row r="154" spans="1:11" x14ac:dyDescent="0.3">
      <c r="A154" s="262" t="s">
        <v>66</v>
      </c>
      <c r="B154" s="264" t="s">
        <v>23</v>
      </c>
      <c r="C154" s="15" t="s">
        <v>24</v>
      </c>
      <c r="D154" s="24">
        <v>832628</v>
      </c>
      <c r="E154" s="11"/>
      <c r="F154" s="11"/>
      <c r="G154" s="11"/>
      <c r="H154" s="11"/>
      <c r="I154" s="20">
        <f t="shared" ref="I154:I155" si="58">D154+E154+F154+G154+H154</f>
        <v>832628</v>
      </c>
      <c r="J154" s="51">
        <v>196354</v>
      </c>
      <c r="K154" s="3">
        <f t="shared" ref="K154:K155" si="59">I154-J154</f>
        <v>636274</v>
      </c>
    </row>
    <row r="155" spans="1:11" x14ac:dyDescent="0.3">
      <c r="A155" s="263"/>
      <c r="B155" s="265"/>
      <c r="C155" s="15" t="s">
        <v>31</v>
      </c>
      <c r="D155" s="24">
        <v>155410</v>
      </c>
      <c r="E155" s="11"/>
      <c r="F155" s="11"/>
      <c r="G155" s="11"/>
      <c r="H155" s="11"/>
      <c r="I155" s="20">
        <f t="shared" si="58"/>
        <v>155410</v>
      </c>
      <c r="J155" s="51">
        <v>38288</v>
      </c>
      <c r="K155" s="3">
        <f t="shared" si="59"/>
        <v>117122</v>
      </c>
    </row>
    <row r="156" spans="1:11" ht="27" customHeight="1" x14ac:dyDescent="0.3">
      <c r="A156" s="257" t="s">
        <v>79</v>
      </c>
      <c r="B156" s="258"/>
      <c r="C156" s="259"/>
      <c r="D156" s="22">
        <f>SUM(D143+D144+D153+D154+D155)</f>
        <v>8091236</v>
      </c>
      <c r="E156" s="22">
        <f t="shared" ref="E156:K156" si="60">SUM(E143+E144+E153+E154+E155)</f>
        <v>0</v>
      </c>
      <c r="F156" s="22">
        <f t="shared" si="60"/>
        <v>0</v>
      </c>
      <c r="G156" s="22">
        <f t="shared" si="60"/>
        <v>0</v>
      </c>
      <c r="H156" s="22">
        <f t="shared" si="60"/>
        <v>0</v>
      </c>
      <c r="I156" s="22">
        <f t="shared" si="60"/>
        <v>8091236</v>
      </c>
      <c r="J156" s="54">
        <f t="shared" si="60"/>
        <v>1710326</v>
      </c>
      <c r="K156" s="22">
        <f t="shared" si="60"/>
        <v>6380910</v>
      </c>
    </row>
    <row r="157" spans="1:11" x14ac:dyDescent="0.3">
      <c r="A157" s="254" t="s">
        <v>55</v>
      </c>
      <c r="B157" s="261" t="s">
        <v>23</v>
      </c>
      <c r="C157" s="10" t="s">
        <v>24</v>
      </c>
      <c r="D157" s="24">
        <v>5055869</v>
      </c>
      <c r="E157" s="11"/>
      <c r="F157" s="11"/>
      <c r="G157" s="11"/>
      <c r="H157" s="11"/>
      <c r="I157" s="20">
        <f t="shared" ref="I157:I162" si="61">D157+E157+F157+G157+H157</f>
        <v>5055869</v>
      </c>
      <c r="J157" s="51">
        <v>1200998</v>
      </c>
      <c r="K157" s="3">
        <f t="shared" ref="K157:K162" si="62">I157-J157</f>
        <v>3854871</v>
      </c>
    </row>
    <row r="158" spans="1:11" x14ac:dyDescent="0.3">
      <c r="A158" s="254"/>
      <c r="B158" s="261"/>
      <c r="C158" s="10" t="s">
        <v>25</v>
      </c>
      <c r="D158" s="24">
        <v>425000</v>
      </c>
      <c r="E158" s="11"/>
      <c r="F158" s="11"/>
      <c r="G158" s="11"/>
      <c r="H158" s="11"/>
      <c r="I158" s="20">
        <f t="shared" si="61"/>
        <v>425000</v>
      </c>
      <c r="J158" s="51">
        <v>0</v>
      </c>
      <c r="K158" s="3">
        <f t="shared" si="62"/>
        <v>425000</v>
      </c>
    </row>
    <row r="159" spans="1:11" x14ac:dyDescent="0.3">
      <c r="A159" s="254"/>
      <c r="B159" s="261"/>
      <c r="C159" s="10" t="s">
        <v>26</v>
      </c>
      <c r="D159" s="24">
        <v>10000</v>
      </c>
      <c r="E159" s="11"/>
      <c r="F159" s="11"/>
      <c r="G159" s="11"/>
      <c r="H159" s="11"/>
      <c r="I159" s="20">
        <f t="shared" si="61"/>
        <v>10000</v>
      </c>
      <c r="J159" s="51">
        <v>0</v>
      </c>
      <c r="K159" s="3">
        <f t="shared" si="62"/>
        <v>10000</v>
      </c>
    </row>
    <row r="160" spans="1:11" x14ac:dyDescent="0.3">
      <c r="A160" s="254"/>
      <c r="B160" s="261"/>
      <c r="C160" s="10" t="s">
        <v>28</v>
      </c>
      <c r="D160" s="24">
        <v>24000</v>
      </c>
      <c r="E160" s="11"/>
      <c r="F160" s="11"/>
      <c r="G160" s="11"/>
      <c r="H160" s="11"/>
      <c r="I160" s="20">
        <f t="shared" si="61"/>
        <v>24000</v>
      </c>
      <c r="J160" s="51">
        <v>0</v>
      </c>
      <c r="K160" s="3">
        <f t="shared" si="62"/>
        <v>24000</v>
      </c>
    </row>
    <row r="161" spans="1:11" x14ac:dyDescent="0.3">
      <c r="A161" s="254"/>
      <c r="B161" s="261"/>
      <c r="C161" s="10" t="s">
        <v>29</v>
      </c>
      <c r="D161" s="24">
        <v>75000</v>
      </c>
      <c r="E161" s="11"/>
      <c r="F161" s="11"/>
      <c r="G161" s="11"/>
      <c r="H161" s="11"/>
      <c r="I161" s="20">
        <f t="shared" si="61"/>
        <v>75000</v>
      </c>
      <c r="J161" s="51">
        <v>0</v>
      </c>
      <c r="K161" s="3">
        <f t="shared" si="62"/>
        <v>75000</v>
      </c>
    </row>
    <row r="162" spans="1:11" x14ac:dyDescent="0.3">
      <c r="A162" s="254"/>
      <c r="B162" s="261"/>
      <c r="C162" s="10" t="s">
        <v>30</v>
      </c>
      <c r="D162" s="24">
        <v>0</v>
      </c>
      <c r="E162" s="11"/>
      <c r="F162" s="11"/>
      <c r="G162" s="11"/>
      <c r="H162" s="11"/>
      <c r="I162" s="20">
        <f t="shared" si="61"/>
        <v>0</v>
      </c>
      <c r="J162" s="51">
        <v>0</v>
      </c>
      <c r="K162" s="3">
        <f t="shared" si="62"/>
        <v>0</v>
      </c>
    </row>
    <row r="163" spans="1:11" x14ac:dyDescent="0.3">
      <c r="A163" s="254"/>
      <c r="B163" s="261"/>
      <c r="C163" s="6" t="s">
        <v>53</v>
      </c>
      <c r="D163" s="7">
        <f>SUM(D157:D162)</f>
        <v>5589869</v>
      </c>
      <c r="E163" s="7">
        <f t="shared" ref="E163:K163" si="63">SUM(E157:E162)</f>
        <v>0</v>
      </c>
      <c r="F163" s="7">
        <f t="shared" si="63"/>
        <v>0</v>
      </c>
      <c r="G163" s="7">
        <f t="shared" si="63"/>
        <v>0</v>
      </c>
      <c r="H163" s="7">
        <f t="shared" si="63"/>
        <v>0</v>
      </c>
      <c r="I163" s="7">
        <f t="shared" si="63"/>
        <v>5589869</v>
      </c>
      <c r="J163" s="52">
        <f t="shared" si="63"/>
        <v>1200998</v>
      </c>
      <c r="K163" s="7">
        <f t="shared" si="63"/>
        <v>4388871</v>
      </c>
    </row>
    <row r="164" spans="1:11" x14ac:dyDescent="0.3">
      <c r="A164" s="254"/>
      <c r="B164" s="261"/>
      <c r="C164" s="6" t="s">
        <v>31</v>
      </c>
      <c r="D164" s="7">
        <v>1124913</v>
      </c>
      <c r="E164" s="7"/>
      <c r="F164" s="7"/>
      <c r="G164" s="7"/>
      <c r="H164" s="7"/>
      <c r="I164" s="21">
        <f t="shared" ref="I164" si="64">D164+E164+F164+G164+H164</f>
        <v>1124913</v>
      </c>
      <c r="J164" s="53">
        <v>241841</v>
      </c>
      <c r="K164" s="8">
        <f t="shared" ref="K164" si="65">I164-J164</f>
        <v>883072</v>
      </c>
    </row>
    <row r="165" spans="1:11" x14ac:dyDescent="0.3">
      <c r="A165" s="254"/>
      <c r="B165" s="261"/>
      <c r="C165" s="10" t="s">
        <v>32</v>
      </c>
      <c r="D165" s="24">
        <v>100000</v>
      </c>
      <c r="E165" s="11"/>
      <c r="F165" s="11"/>
      <c r="G165" s="11"/>
      <c r="H165" s="11"/>
      <c r="I165" s="20">
        <f t="shared" ref="I165:I173" si="66">D165+E165+F165+G165+H165</f>
        <v>100000</v>
      </c>
      <c r="J165" s="51">
        <v>0</v>
      </c>
      <c r="K165" s="3">
        <f t="shared" ref="K165:K173" si="67">I165-J165</f>
        <v>100000</v>
      </c>
    </row>
    <row r="166" spans="1:11" x14ac:dyDescent="0.3">
      <c r="A166" s="254"/>
      <c r="B166" s="261"/>
      <c r="C166" s="10" t="s">
        <v>33</v>
      </c>
      <c r="D166" s="24">
        <v>100000</v>
      </c>
      <c r="E166" s="11"/>
      <c r="F166" s="11"/>
      <c r="G166" s="11"/>
      <c r="H166" s="11"/>
      <c r="I166" s="20">
        <f t="shared" si="66"/>
        <v>100000</v>
      </c>
      <c r="J166" s="51">
        <v>0</v>
      </c>
      <c r="K166" s="3">
        <f t="shared" si="67"/>
        <v>100000</v>
      </c>
    </row>
    <row r="167" spans="1:11" x14ac:dyDescent="0.3">
      <c r="A167" s="254"/>
      <c r="B167" s="261"/>
      <c r="C167" s="10" t="s">
        <v>34</v>
      </c>
      <c r="D167" s="24">
        <v>100000</v>
      </c>
      <c r="E167" s="11"/>
      <c r="F167" s="11"/>
      <c r="G167" s="11"/>
      <c r="H167" s="11"/>
      <c r="I167" s="20">
        <f t="shared" si="66"/>
        <v>100000</v>
      </c>
      <c r="J167" s="51">
        <v>0</v>
      </c>
      <c r="K167" s="3">
        <f t="shared" si="67"/>
        <v>100000</v>
      </c>
    </row>
    <row r="168" spans="1:11" x14ac:dyDescent="0.3">
      <c r="A168" s="254"/>
      <c r="B168" s="261"/>
      <c r="C168" s="10" t="s">
        <v>35</v>
      </c>
      <c r="D168" s="24">
        <v>50000</v>
      </c>
      <c r="E168" s="11"/>
      <c r="F168" s="11"/>
      <c r="G168" s="11"/>
      <c r="H168" s="11"/>
      <c r="I168" s="20">
        <f t="shared" si="66"/>
        <v>50000</v>
      </c>
      <c r="J168" s="51">
        <v>0</v>
      </c>
      <c r="K168" s="3">
        <f t="shared" si="67"/>
        <v>50000</v>
      </c>
    </row>
    <row r="169" spans="1:11" x14ac:dyDescent="0.3">
      <c r="A169" s="254"/>
      <c r="B169" s="261"/>
      <c r="C169" s="10" t="s">
        <v>38</v>
      </c>
      <c r="D169" s="24">
        <v>140000</v>
      </c>
      <c r="E169" s="11"/>
      <c r="F169" s="11"/>
      <c r="G169" s="11"/>
      <c r="H169" s="11"/>
      <c r="I169" s="20">
        <f t="shared" si="66"/>
        <v>140000</v>
      </c>
      <c r="J169" s="51">
        <v>13994</v>
      </c>
      <c r="K169" s="3">
        <f t="shared" si="67"/>
        <v>126006</v>
      </c>
    </row>
    <row r="170" spans="1:11" x14ac:dyDescent="0.3">
      <c r="A170" s="254"/>
      <c r="B170" s="261"/>
      <c r="C170" s="10" t="s">
        <v>40</v>
      </c>
      <c r="D170" s="24">
        <v>15000</v>
      </c>
      <c r="E170" s="11"/>
      <c r="F170" s="11"/>
      <c r="G170" s="11"/>
      <c r="H170" s="11"/>
      <c r="I170" s="20">
        <f t="shared" si="66"/>
        <v>15000</v>
      </c>
      <c r="J170" s="51">
        <v>0</v>
      </c>
      <c r="K170" s="3">
        <f t="shared" si="67"/>
        <v>15000</v>
      </c>
    </row>
    <row r="171" spans="1:11" x14ac:dyDescent="0.3">
      <c r="A171" s="254"/>
      <c r="B171" s="261"/>
      <c r="C171" s="10" t="s">
        <v>41</v>
      </c>
      <c r="D171" s="24">
        <v>80000</v>
      </c>
      <c r="E171" s="11"/>
      <c r="F171" s="11"/>
      <c r="G171" s="11"/>
      <c r="H171" s="11"/>
      <c r="I171" s="20">
        <f t="shared" si="66"/>
        <v>80000</v>
      </c>
      <c r="J171" s="51">
        <v>25900</v>
      </c>
      <c r="K171" s="3">
        <f t="shared" si="67"/>
        <v>54100</v>
      </c>
    </row>
    <row r="172" spans="1:11" x14ac:dyDescent="0.3">
      <c r="A172" s="254"/>
      <c r="B172" s="261"/>
      <c r="C172" s="10" t="s">
        <v>42</v>
      </c>
      <c r="D172" s="24">
        <v>240000</v>
      </c>
      <c r="E172" s="11"/>
      <c r="F172" s="11"/>
      <c r="G172" s="11"/>
      <c r="H172" s="11"/>
      <c r="I172" s="20">
        <f t="shared" si="66"/>
        <v>240000</v>
      </c>
      <c r="J172" s="51">
        <v>64650</v>
      </c>
      <c r="K172" s="3">
        <f t="shared" si="67"/>
        <v>175350</v>
      </c>
    </row>
    <row r="173" spans="1:11" x14ac:dyDescent="0.3">
      <c r="A173" s="254"/>
      <c r="B173" s="261"/>
      <c r="C173" s="10" t="s">
        <v>44</v>
      </c>
      <c r="D173" s="24">
        <v>142900</v>
      </c>
      <c r="E173" s="11"/>
      <c r="F173" s="11"/>
      <c r="G173" s="11"/>
      <c r="H173" s="11"/>
      <c r="I173" s="20">
        <f t="shared" si="66"/>
        <v>142900</v>
      </c>
      <c r="J173" s="51">
        <v>10771</v>
      </c>
      <c r="K173" s="3">
        <f t="shared" si="67"/>
        <v>132129</v>
      </c>
    </row>
    <row r="174" spans="1:11" x14ac:dyDescent="0.3">
      <c r="A174" s="254"/>
      <c r="B174" s="261"/>
      <c r="C174" s="6" t="s">
        <v>49</v>
      </c>
      <c r="D174" s="7">
        <f>SUM(D165:D173)</f>
        <v>967900</v>
      </c>
      <c r="E174" s="7">
        <f t="shared" ref="E174:K174" si="68">SUM(E165:E173)</f>
        <v>0</v>
      </c>
      <c r="F174" s="7">
        <f t="shared" si="68"/>
        <v>0</v>
      </c>
      <c r="G174" s="7">
        <f t="shared" si="68"/>
        <v>0</v>
      </c>
      <c r="H174" s="7">
        <f t="shared" si="68"/>
        <v>0</v>
      </c>
      <c r="I174" s="7">
        <f t="shared" si="68"/>
        <v>967900</v>
      </c>
      <c r="J174" s="52">
        <f t="shared" si="68"/>
        <v>115315</v>
      </c>
      <c r="K174" s="7">
        <f t="shared" si="68"/>
        <v>852585</v>
      </c>
    </row>
    <row r="175" spans="1:11" x14ac:dyDescent="0.3">
      <c r="A175" s="262" t="s">
        <v>67</v>
      </c>
      <c r="B175" s="264" t="s">
        <v>23</v>
      </c>
      <c r="C175" s="25" t="s">
        <v>29</v>
      </c>
      <c r="D175" s="24">
        <v>157200</v>
      </c>
      <c r="E175" s="11"/>
      <c r="F175" s="11"/>
      <c r="G175" s="11"/>
      <c r="H175" s="11"/>
      <c r="I175" s="20">
        <f t="shared" ref="I175:I180" si="69">D175+E175+F175+G175+H175</f>
        <v>157200</v>
      </c>
      <c r="J175" s="51">
        <v>23700</v>
      </c>
      <c r="K175" s="3">
        <f t="shared" ref="K175:K180" si="70">I175-J175</f>
        <v>133500</v>
      </c>
    </row>
    <row r="176" spans="1:11" x14ac:dyDescent="0.3">
      <c r="A176" s="263"/>
      <c r="B176" s="265"/>
      <c r="C176" s="25" t="s">
        <v>31</v>
      </c>
      <c r="D176" s="24">
        <v>29213</v>
      </c>
      <c r="E176" s="11"/>
      <c r="F176" s="11"/>
      <c r="G176" s="11"/>
      <c r="H176" s="11"/>
      <c r="I176" s="20">
        <f t="shared" si="69"/>
        <v>29213</v>
      </c>
      <c r="J176" s="51">
        <v>4621</v>
      </c>
      <c r="K176" s="3">
        <f t="shared" si="70"/>
        <v>24592</v>
      </c>
    </row>
    <row r="177" spans="1:11" x14ac:dyDescent="0.3">
      <c r="A177" s="262" t="s">
        <v>75</v>
      </c>
      <c r="B177" s="264" t="s">
        <v>23</v>
      </c>
      <c r="C177" s="15" t="s">
        <v>24</v>
      </c>
      <c r="D177" s="24">
        <v>1604509</v>
      </c>
      <c r="E177" s="11"/>
      <c r="F177" s="11"/>
      <c r="G177" s="11"/>
      <c r="H177" s="11"/>
      <c r="I177" s="20">
        <f t="shared" si="69"/>
        <v>1604509</v>
      </c>
      <c r="J177" s="51">
        <v>406620</v>
      </c>
      <c r="K177" s="3">
        <f t="shared" si="70"/>
        <v>1197889</v>
      </c>
    </row>
    <row r="178" spans="1:11" x14ac:dyDescent="0.3">
      <c r="A178" s="263"/>
      <c r="B178" s="265"/>
      <c r="C178" s="15" t="s">
        <v>31</v>
      </c>
      <c r="D178" s="24">
        <v>299119</v>
      </c>
      <c r="E178" s="11"/>
      <c r="F178" s="11"/>
      <c r="G178" s="11"/>
      <c r="H178" s="11"/>
      <c r="I178" s="20">
        <f t="shared" si="69"/>
        <v>299119</v>
      </c>
      <c r="J178" s="51">
        <v>79292</v>
      </c>
      <c r="K178" s="3">
        <f t="shared" si="70"/>
        <v>219827</v>
      </c>
    </row>
    <row r="179" spans="1:11" s="29" customFormat="1" ht="27" customHeight="1" x14ac:dyDescent="0.3">
      <c r="A179" s="260" t="s">
        <v>80</v>
      </c>
      <c r="B179" s="260"/>
      <c r="C179" s="260"/>
      <c r="D179" s="42">
        <f>SUM(D163+D164+D174+D175+D176+D177+D178)</f>
        <v>9772723</v>
      </c>
      <c r="E179" s="42">
        <f t="shared" ref="E179:K179" si="71">SUM(E163+E164+E174+E175+E176+E177+E178)</f>
        <v>0</v>
      </c>
      <c r="F179" s="42">
        <f t="shared" si="71"/>
        <v>0</v>
      </c>
      <c r="G179" s="42">
        <f t="shared" si="71"/>
        <v>0</v>
      </c>
      <c r="H179" s="42">
        <f t="shared" si="71"/>
        <v>0</v>
      </c>
      <c r="I179" s="42">
        <f t="shared" si="71"/>
        <v>9772723</v>
      </c>
      <c r="J179" s="55">
        <f t="shared" si="71"/>
        <v>2072387</v>
      </c>
      <c r="K179" s="42">
        <f t="shared" si="71"/>
        <v>7700336</v>
      </c>
    </row>
    <row r="180" spans="1:11" s="45" customFormat="1" ht="13.5" customHeight="1" x14ac:dyDescent="0.3">
      <c r="A180" s="254" t="s">
        <v>15</v>
      </c>
      <c r="B180" s="264" t="s">
        <v>23</v>
      </c>
      <c r="C180" s="43" t="s">
        <v>24</v>
      </c>
      <c r="D180" s="44">
        <v>11144060</v>
      </c>
      <c r="E180" s="44"/>
      <c r="F180" s="44"/>
      <c r="G180" s="44"/>
      <c r="H180" s="44"/>
      <c r="I180" s="20">
        <f t="shared" si="69"/>
        <v>11144060</v>
      </c>
      <c r="J180" s="56">
        <v>570500</v>
      </c>
      <c r="K180" s="3">
        <f t="shared" si="70"/>
        <v>10573560</v>
      </c>
    </row>
    <row r="181" spans="1:11" x14ac:dyDescent="0.3">
      <c r="A181" s="254"/>
      <c r="B181" s="268"/>
      <c r="C181" s="6" t="s">
        <v>53</v>
      </c>
      <c r="D181" s="7">
        <f>D180</f>
        <v>11144060</v>
      </c>
      <c r="E181" s="7"/>
      <c r="F181" s="7"/>
      <c r="G181" s="7"/>
      <c r="H181" s="7"/>
      <c r="I181" s="8">
        <f t="shared" ref="I181:I182" si="72">D181+E181+F181+G181+H181</f>
        <v>11144060</v>
      </c>
      <c r="J181" s="53">
        <f>SUM(J180)</f>
        <v>570500</v>
      </c>
      <c r="K181" s="8">
        <f t="shared" ref="K181:K182" si="73">I181-J181</f>
        <v>10573560</v>
      </c>
    </row>
    <row r="182" spans="1:11" x14ac:dyDescent="0.3">
      <c r="A182" s="254"/>
      <c r="B182" s="268"/>
      <c r="C182" s="6" t="s">
        <v>31</v>
      </c>
      <c r="D182" s="7">
        <v>2295657</v>
      </c>
      <c r="E182" s="7"/>
      <c r="F182" s="7"/>
      <c r="G182" s="7"/>
      <c r="H182" s="7"/>
      <c r="I182" s="8">
        <f t="shared" si="72"/>
        <v>2295657</v>
      </c>
      <c r="J182" s="53">
        <v>111248</v>
      </c>
      <c r="K182" s="8">
        <f t="shared" si="73"/>
        <v>2184409</v>
      </c>
    </row>
    <row r="183" spans="1:11" x14ac:dyDescent="0.3">
      <c r="A183" s="254"/>
      <c r="B183" s="268"/>
      <c r="C183" s="10" t="s">
        <v>33</v>
      </c>
      <c r="D183" s="3">
        <v>90000</v>
      </c>
      <c r="E183" s="3"/>
      <c r="F183" s="3"/>
      <c r="G183" s="3"/>
      <c r="H183" s="3"/>
      <c r="I183" s="3">
        <f t="shared" ref="I183:I190" si="74">D183+E183+F183+G183+H183</f>
        <v>90000</v>
      </c>
      <c r="J183" s="51">
        <v>0</v>
      </c>
      <c r="K183" s="3">
        <f t="shared" ref="K183:K190" si="75">I183-J183</f>
        <v>90000</v>
      </c>
    </row>
    <row r="184" spans="1:11" x14ac:dyDescent="0.3">
      <c r="A184" s="254"/>
      <c r="B184" s="268"/>
      <c r="C184" s="10" t="s">
        <v>37</v>
      </c>
      <c r="D184" s="3">
        <v>230000</v>
      </c>
      <c r="E184" s="3"/>
      <c r="F184" s="3"/>
      <c r="G184" s="3"/>
      <c r="H184" s="3"/>
      <c r="I184" s="3">
        <f t="shared" si="74"/>
        <v>230000</v>
      </c>
      <c r="J184" s="51">
        <v>0</v>
      </c>
      <c r="K184" s="3">
        <f t="shared" si="75"/>
        <v>230000</v>
      </c>
    </row>
    <row r="185" spans="1:11" x14ac:dyDescent="0.3">
      <c r="A185" s="254"/>
      <c r="B185" s="268"/>
      <c r="C185" s="10" t="s">
        <v>40</v>
      </c>
      <c r="D185" s="3">
        <v>14850000</v>
      </c>
      <c r="E185" s="3"/>
      <c r="F185" s="3"/>
      <c r="G185" s="3"/>
      <c r="H185" s="3"/>
      <c r="I185" s="3">
        <f t="shared" si="74"/>
        <v>14850000</v>
      </c>
      <c r="J185" s="51">
        <v>0</v>
      </c>
      <c r="K185" s="3">
        <f t="shared" si="75"/>
        <v>14850000</v>
      </c>
    </row>
    <row r="186" spans="1:11" x14ac:dyDescent="0.3">
      <c r="A186" s="254"/>
      <c r="B186" s="268"/>
      <c r="C186" s="10" t="s">
        <v>41</v>
      </c>
      <c r="D186" s="3">
        <v>25112271</v>
      </c>
      <c r="E186" s="3"/>
      <c r="F186" s="3"/>
      <c r="G186" s="3"/>
      <c r="H186" s="3"/>
      <c r="I186" s="3">
        <f t="shared" si="74"/>
        <v>25112271</v>
      </c>
      <c r="J186" s="51">
        <v>0</v>
      </c>
      <c r="K186" s="3">
        <f t="shared" si="75"/>
        <v>25112271</v>
      </c>
    </row>
    <row r="187" spans="1:11" x14ac:dyDescent="0.3">
      <c r="A187" s="254"/>
      <c r="B187" s="268"/>
      <c r="C187" s="10" t="s">
        <v>42</v>
      </c>
      <c r="D187" s="3">
        <v>230000</v>
      </c>
      <c r="E187" s="3"/>
      <c r="F187" s="3"/>
      <c r="G187" s="3"/>
      <c r="H187" s="3"/>
      <c r="I187" s="3">
        <f t="shared" si="74"/>
        <v>230000</v>
      </c>
      <c r="J187" s="51">
        <v>0</v>
      </c>
      <c r="K187" s="3">
        <f t="shared" si="75"/>
        <v>230000</v>
      </c>
    </row>
    <row r="188" spans="1:11" x14ac:dyDescent="0.3">
      <c r="A188" s="254"/>
      <c r="B188" s="268"/>
      <c r="C188" s="10" t="s">
        <v>43</v>
      </c>
      <c r="D188" s="3">
        <v>230000</v>
      </c>
      <c r="E188" s="3"/>
      <c r="F188" s="3"/>
      <c r="G188" s="3"/>
      <c r="H188" s="3"/>
      <c r="I188" s="3">
        <f t="shared" si="74"/>
        <v>230000</v>
      </c>
      <c r="J188" s="51">
        <v>0</v>
      </c>
      <c r="K188" s="3">
        <f t="shared" si="75"/>
        <v>230000</v>
      </c>
    </row>
    <row r="189" spans="1:11" x14ac:dyDescent="0.3">
      <c r="A189" s="254"/>
      <c r="B189" s="268"/>
      <c r="C189" s="10" t="s">
        <v>44</v>
      </c>
      <c r="D189" s="3">
        <v>5677830</v>
      </c>
      <c r="E189" s="3"/>
      <c r="F189" s="3"/>
      <c r="G189" s="3"/>
      <c r="H189" s="3"/>
      <c r="I189" s="3">
        <f t="shared" si="74"/>
        <v>5677830</v>
      </c>
      <c r="J189" s="51">
        <v>0</v>
      </c>
      <c r="K189" s="3">
        <f t="shared" si="75"/>
        <v>5677830</v>
      </c>
    </row>
    <row r="190" spans="1:11" x14ac:dyDescent="0.3">
      <c r="A190" s="254"/>
      <c r="B190" s="268"/>
      <c r="C190" s="10" t="s">
        <v>45</v>
      </c>
      <c r="D190" s="3">
        <v>229990</v>
      </c>
      <c r="E190" s="3"/>
      <c r="F190" s="3"/>
      <c r="G190" s="3"/>
      <c r="H190" s="3"/>
      <c r="I190" s="3">
        <f t="shared" si="74"/>
        <v>229990</v>
      </c>
      <c r="J190" s="51">
        <v>0</v>
      </c>
      <c r="K190" s="3">
        <f t="shared" si="75"/>
        <v>229990</v>
      </c>
    </row>
    <row r="191" spans="1:11" x14ac:dyDescent="0.3">
      <c r="A191" s="254"/>
      <c r="B191" s="268"/>
      <c r="C191" s="6" t="s">
        <v>49</v>
      </c>
      <c r="D191" s="7">
        <f>SUM(D183:D190)</f>
        <v>46650091</v>
      </c>
      <c r="E191" s="7">
        <f t="shared" ref="E191:K191" si="76">SUM(E183:E190)</f>
        <v>0</v>
      </c>
      <c r="F191" s="7">
        <f t="shared" si="76"/>
        <v>0</v>
      </c>
      <c r="G191" s="7">
        <f t="shared" si="76"/>
        <v>0</v>
      </c>
      <c r="H191" s="7">
        <f t="shared" si="76"/>
        <v>0</v>
      </c>
      <c r="I191" s="7">
        <f t="shared" si="76"/>
        <v>46650091</v>
      </c>
      <c r="J191" s="52">
        <f t="shared" si="76"/>
        <v>0</v>
      </c>
      <c r="K191" s="7">
        <f t="shared" si="76"/>
        <v>46650091</v>
      </c>
    </row>
    <row r="192" spans="1:11" x14ac:dyDescent="0.3">
      <c r="A192" s="254"/>
      <c r="B192" s="268"/>
      <c r="C192" s="10" t="s">
        <v>56</v>
      </c>
      <c r="D192" s="3">
        <v>0</v>
      </c>
      <c r="E192" s="3"/>
      <c r="F192" s="3"/>
      <c r="G192" s="3"/>
      <c r="H192" s="3"/>
      <c r="I192" s="3">
        <f t="shared" ref="I192:I194" si="77">D192+E192+F192+G192+H192</f>
        <v>0</v>
      </c>
      <c r="J192" s="51">
        <v>0</v>
      </c>
      <c r="K192" s="3">
        <f t="shared" ref="K192:K194" si="78">I192-J192</f>
        <v>0</v>
      </c>
    </row>
    <row r="193" spans="1:11" x14ac:dyDescent="0.3">
      <c r="A193" s="254"/>
      <c r="B193" s="268"/>
      <c r="C193" s="10" t="s">
        <v>50</v>
      </c>
      <c r="D193" s="3">
        <v>3740</v>
      </c>
      <c r="E193" s="3"/>
      <c r="F193" s="3"/>
      <c r="G193" s="3"/>
      <c r="H193" s="3"/>
      <c r="I193" s="3">
        <f t="shared" si="77"/>
        <v>3740</v>
      </c>
      <c r="J193" s="51">
        <v>0</v>
      </c>
      <c r="K193" s="3">
        <f t="shared" si="78"/>
        <v>3740</v>
      </c>
    </row>
    <row r="194" spans="1:11" x14ac:dyDescent="0.3">
      <c r="A194" s="254"/>
      <c r="B194" s="268"/>
      <c r="C194" s="10" t="s">
        <v>51</v>
      </c>
      <c r="D194" s="3">
        <v>1010</v>
      </c>
      <c r="E194" s="3"/>
      <c r="F194" s="3"/>
      <c r="G194" s="3"/>
      <c r="H194" s="3"/>
      <c r="I194" s="3">
        <f t="shared" si="77"/>
        <v>1010</v>
      </c>
      <c r="J194" s="51">
        <v>0</v>
      </c>
      <c r="K194" s="3">
        <f t="shared" si="78"/>
        <v>1010</v>
      </c>
    </row>
    <row r="195" spans="1:11" x14ac:dyDescent="0.3">
      <c r="A195" s="254"/>
      <c r="B195" s="268"/>
      <c r="C195" s="6" t="s">
        <v>52</v>
      </c>
      <c r="D195" s="7">
        <f>SUM(D192:D194)</f>
        <v>4750</v>
      </c>
      <c r="E195" s="7">
        <f t="shared" ref="E195:K195" si="79">SUM(E192:E194)</f>
        <v>0</v>
      </c>
      <c r="F195" s="7">
        <f t="shared" si="79"/>
        <v>0</v>
      </c>
      <c r="G195" s="7">
        <f t="shared" si="79"/>
        <v>0</v>
      </c>
      <c r="H195" s="7">
        <f t="shared" si="79"/>
        <v>0</v>
      </c>
      <c r="I195" s="7">
        <f t="shared" si="79"/>
        <v>4750</v>
      </c>
      <c r="J195" s="52">
        <f t="shared" si="79"/>
        <v>0</v>
      </c>
      <c r="K195" s="7">
        <f t="shared" si="79"/>
        <v>4750</v>
      </c>
    </row>
    <row r="196" spans="1:11" x14ac:dyDescent="0.3">
      <c r="A196" s="254"/>
      <c r="B196" s="265"/>
      <c r="C196" s="10" t="s">
        <v>57</v>
      </c>
      <c r="D196" s="3">
        <v>0</v>
      </c>
      <c r="E196" s="3"/>
      <c r="F196" s="3"/>
      <c r="G196" s="3"/>
      <c r="H196" s="3"/>
      <c r="I196" s="3">
        <f t="shared" ref="I196" si="80">D196+E196+F196+G196+H196</f>
        <v>0</v>
      </c>
      <c r="J196" s="51">
        <v>0</v>
      </c>
      <c r="K196" s="3">
        <f t="shared" ref="K196" si="81">I196-J196</f>
        <v>0</v>
      </c>
    </row>
    <row r="197" spans="1:11" s="31" customFormat="1" ht="27" customHeight="1" x14ac:dyDescent="0.3">
      <c r="A197" s="257" t="s">
        <v>81</v>
      </c>
      <c r="B197" s="258"/>
      <c r="C197" s="259"/>
      <c r="D197" s="22">
        <f>SUM(D181+D182+D191+D195+D196)</f>
        <v>60094558</v>
      </c>
      <c r="E197" s="22">
        <f t="shared" ref="E197:K197" si="82">SUM(E181+E182+E191+E195+E196)</f>
        <v>0</v>
      </c>
      <c r="F197" s="22">
        <f t="shared" si="82"/>
        <v>0</v>
      </c>
      <c r="G197" s="22">
        <f t="shared" si="82"/>
        <v>0</v>
      </c>
      <c r="H197" s="22">
        <f t="shared" si="82"/>
        <v>0</v>
      </c>
      <c r="I197" s="22">
        <f t="shared" si="82"/>
        <v>60094558</v>
      </c>
      <c r="J197" s="54">
        <f t="shared" si="82"/>
        <v>681748</v>
      </c>
      <c r="K197" s="22">
        <f t="shared" si="82"/>
        <v>59412810</v>
      </c>
    </row>
    <row r="198" spans="1:11" ht="15.75" customHeight="1" x14ac:dyDescent="0.3">
      <c r="A198" s="285" t="s">
        <v>85</v>
      </c>
      <c r="B198" s="264" t="s">
        <v>46</v>
      </c>
      <c r="C198" s="12" t="s">
        <v>24</v>
      </c>
      <c r="D198" s="3">
        <v>9880165</v>
      </c>
      <c r="E198" s="3">
        <f>-145472-38261</f>
        <v>-183733</v>
      </c>
      <c r="F198" s="3"/>
      <c r="G198" s="3"/>
      <c r="H198" s="3"/>
      <c r="I198" s="20">
        <f t="shared" ref="I198:I203" si="83">D198+E198+F198+G198+H198</f>
        <v>9696432</v>
      </c>
      <c r="J198" s="51">
        <v>2097889</v>
      </c>
      <c r="K198" s="3">
        <f t="shared" ref="K198:K203" si="84">I198-J198</f>
        <v>7598543</v>
      </c>
    </row>
    <row r="199" spans="1:11" x14ac:dyDescent="0.3">
      <c r="A199" s="285"/>
      <c r="B199" s="268"/>
      <c r="C199" s="12" t="s">
        <v>25</v>
      </c>
      <c r="D199" s="3">
        <v>400000</v>
      </c>
      <c r="E199" s="3"/>
      <c r="F199" s="3"/>
      <c r="G199" s="3"/>
      <c r="H199" s="3"/>
      <c r="I199" s="20">
        <f t="shared" si="83"/>
        <v>400000</v>
      </c>
      <c r="J199" s="51">
        <v>0</v>
      </c>
      <c r="K199" s="3">
        <f t="shared" si="84"/>
        <v>400000</v>
      </c>
    </row>
    <row r="200" spans="1:11" x14ac:dyDescent="0.3">
      <c r="A200" s="285"/>
      <c r="B200" s="268"/>
      <c r="C200" s="12" t="s">
        <v>26</v>
      </c>
      <c r="D200" s="3">
        <v>20000</v>
      </c>
      <c r="E200" s="3"/>
      <c r="F200" s="3"/>
      <c r="G200" s="3"/>
      <c r="H200" s="3"/>
      <c r="I200" s="20">
        <f t="shared" si="83"/>
        <v>20000</v>
      </c>
      <c r="J200" s="51">
        <v>0</v>
      </c>
      <c r="K200" s="3">
        <f t="shared" si="84"/>
        <v>20000</v>
      </c>
    </row>
    <row r="201" spans="1:11" x14ac:dyDescent="0.3">
      <c r="A201" s="285"/>
      <c r="B201" s="268"/>
      <c r="C201" s="2" t="s">
        <v>27</v>
      </c>
      <c r="D201" s="3">
        <v>75000</v>
      </c>
      <c r="E201" s="3"/>
      <c r="F201" s="3"/>
      <c r="G201" s="3"/>
      <c r="H201" s="3"/>
      <c r="I201" s="20">
        <f t="shared" si="83"/>
        <v>75000</v>
      </c>
      <c r="J201" s="51">
        <v>0</v>
      </c>
      <c r="K201" s="3">
        <f t="shared" si="84"/>
        <v>75000</v>
      </c>
    </row>
    <row r="202" spans="1:11" x14ac:dyDescent="0.3">
      <c r="A202" s="285"/>
      <c r="B202" s="268"/>
      <c r="C202" s="2" t="s">
        <v>28</v>
      </c>
      <c r="D202" s="3">
        <v>48000</v>
      </c>
      <c r="E202" s="3"/>
      <c r="F202" s="3"/>
      <c r="G202" s="3"/>
      <c r="H202" s="3"/>
      <c r="I202" s="20">
        <f t="shared" si="83"/>
        <v>48000</v>
      </c>
      <c r="J202" s="51">
        <v>0</v>
      </c>
      <c r="K202" s="3">
        <f t="shared" si="84"/>
        <v>48000</v>
      </c>
    </row>
    <row r="203" spans="1:11" x14ac:dyDescent="0.3">
      <c r="A203" s="285"/>
      <c r="B203" s="268"/>
      <c r="C203" s="2" t="s">
        <v>29</v>
      </c>
      <c r="D203" s="3">
        <v>264000</v>
      </c>
      <c r="E203" s="3">
        <f>145472+38261</f>
        <v>183733</v>
      </c>
      <c r="F203" s="3"/>
      <c r="G203" s="3"/>
      <c r="H203" s="3"/>
      <c r="I203" s="20">
        <f t="shared" si="83"/>
        <v>447733</v>
      </c>
      <c r="J203" s="51">
        <v>226853</v>
      </c>
      <c r="K203" s="3">
        <f t="shared" si="84"/>
        <v>220880</v>
      </c>
    </row>
    <row r="204" spans="1:11" x14ac:dyDescent="0.3">
      <c r="A204" s="285"/>
      <c r="B204" s="268"/>
      <c r="C204" s="26" t="s">
        <v>53</v>
      </c>
      <c r="D204" s="7">
        <f>SUM(D198:D203)</f>
        <v>10687165</v>
      </c>
      <c r="E204" s="7">
        <f t="shared" ref="E204:K204" si="85">SUM(E198:E203)</f>
        <v>0</v>
      </c>
      <c r="F204" s="7">
        <f t="shared" si="85"/>
        <v>0</v>
      </c>
      <c r="G204" s="7">
        <f t="shared" si="85"/>
        <v>0</v>
      </c>
      <c r="H204" s="7">
        <f t="shared" si="85"/>
        <v>0</v>
      </c>
      <c r="I204" s="7">
        <f t="shared" si="85"/>
        <v>10687165</v>
      </c>
      <c r="J204" s="52">
        <f t="shared" si="85"/>
        <v>2324742</v>
      </c>
      <c r="K204" s="7">
        <f t="shared" si="85"/>
        <v>8362423</v>
      </c>
    </row>
    <row r="205" spans="1:11" x14ac:dyDescent="0.3">
      <c r="A205" s="285"/>
      <c r="B205" s="268"/>
      <c r="C205" s="27" t="s">
        <v>31</v>
      </c>
      <c r="D205" s="28">
        <v>2120857</v>
      </c>
      <c r="E205" s="13"/>
      <c r="F205" s="13"/>
      <c r="G205" s="13"/>
      <c r="H205" s="13"/>
      <c r="I205" s="21">
        <f t="shared" ref="I205:I209" si="86">D205+E205+F205+G205+H205</f>
        <v>2120857</v>
      </c>
      <c r="J205" s="53">
        <v>450721</v>
      </c>
      <c r="K205" s="8">
        <f t="shared" ref="K205:K209" si="87">I205-J205</f>
        <v>1670136</v>
      </c>
    </row>
    <row r="206" spans="1:11" s="48" customFormat="1" x14ac:dyDescent="0.3">
      <c r="A206" s="285"/>
      <c r="B206" s="268"/>
      <c r="C206" s="46" t="s">
        <v>35</v>
      </c>
      <c r="D206" s="47">
        <v>0</v>
      </c>
      <c r="E206" s="47">
        <v>172800</v>
      </c>
      <c r="F206" s="47"/>
      <c r="G206" s="47"/>
      <c r="H206" s="47"/>
      <c r="I206" s="20">
        <f t="shared" si="86"/>
        <v>172800</v>
      </c>
      <c r="J206" s="57">
        <v>12212</v>
      </c>
      <c r="K206" s="3">
        <f t="shared" si="87"/>
        <v>160588</v>
      </c>
    </row>
    <row r="207" spans="1:11" s="48" customFormat="1" x14ac:dyDescent="0.3">
      <c r="A207" s="285"/>
      <c r="B207" s="268"/>
      <c r="C207" s="46" t="s">
        <v>42</v>
      </c>
      <c r="D207" s="47">
        <v>0</v>
      </c>
      <c r="E207" s="47">
        <f>9980+34080</f>
        <v>44060</v>
      </c>
      <c r="F207" s="47"/>
      <c r="G207" s="47"/>
      <c r="H207" s="47"/>
      <c r="I207" s="20">
        <f t="shared" si="86"/>
        <v>44060</v>
      </c>
      <c r="J207" s="57">
        <v>44060</v>
      </c>
      <c r="K207" s="3">
        <f t="shared" si="87"/>
        <v>0</v>
      </c>
    </row>
    <row r="208" spans="1:11" s="48" customFormat="1" x14ac:dyDescent="0.3">
      <c r="A208" s="285"/>
      <c r="B208" s="268"/>
      <c r="C208" s="46" t="s">
        <v>44</v>
      </c>
      <c r="D208" s="47">
        <v>0</v>
      </c>
      <c r="E208" s="47">
        <v>60140</v>
      </c>
      <c r="F208" s="47"/>
      <c r="G208" s="47"/>
      <c r="H208" s="47"/>
      <c r="I208" s="20">
        <f t="shared" si="86"/>
        <v>60140</v>
      </c>
      <c r="J208" s="57">
        <v>23763</v>
      </c>
      <c r="K208" s="3">
        <f t="shared" si="87"/>
        <v>36377</v>
      </c>
    </row>
    <row r="209" spans="1:11" s="48" customFormat="1" x14ac:dyDescent="0.3">
      <c r="A209" s="285"/>
      <c r="B209" s="268"/>
      <c r="C209" s="46" t="s">
        <v>45</v>
      </c>
      <c r="D209" s="47">
        <v>0</v>
      </c>
      <c r="E209" s="47">
        <f>166879+4236+88139</f>
        <v>259254</v>
      </c>
      <c r="F209" s="47"/>
      <c r="G209" s="47"/>
      <c r="H209" s="47"/>
      <c r="I209" s="20">
        <f t="shared" si="86"/>
        <v>259254</v>
      </c>
      <c r="J209" s="57">
        <v>166879</v>
      </c>
      <c r="K209" s="3">
        <f t="shared" si="87"/>
        <v>92375</v>
      </c>
    </row>
    <row r="210" spans="1:11" s="48" customFormat="1" x14ac:dyDescent="0.3">
      <c r="A210" s="263"/>
      <c r="B210" s="265"/>
      <c r="C210" s="49" t="s">
        <v>49</v>
      </c>
      <c r="D210" s="50">
        <f>SUM(D206:D209)</f>
        <v>0</v>
      </c>
      <c r="E210" s="50">
        <f t="shared" ref="E210:K210" si="88">SUM(E206:E209)</f>
        <v>536254</v>
      </c>
      <c r="F210" s="50">
        <f t="shared" si="88"/>
        <v>0</v>
      </c>
      <c r="G210" s="50">
        <f t="shared" si="88"/>
        <v>0</v>
      </c>
      <c r="H210" s="50">
        <f t="shared" si="88"/>
        <v>0</v>
      </c>
      <c r="I210" s="50">
        <f t="shared" si="88"/>
        <v>536254</v>
      </c>
      <c r="J210" s="58">
        <f t="shared" si="88"/>
        <v>246914</v>
      </c>
      <c r="K210" s="50">
        <f t="shared" si="88"/>
        <v>289340</v>
      </c>
    </row>
    <row r="211" spans="1:11" x14ac:dyDescent="0.3">
      <c r="A211" s="254" t="s">
        <v>68</v>
      </c>
      <c r="B211" s="279" t="s">
        <v>46</v>
      </c>
      <c r="C211" s="16" t="s">
        <v>24</v>
      </c>
      <c r="D211" s="17">
        <v>2501556</v>
      </c>
      <c r="E211" s="17"/>
      <c r="F211" s="17"/>
      <c r="G211" s="17"/>
      <c r="H211" s="17"/>
      <c r="I211" s="20">
        <f>D211+E211+F211+G211+H211</f>
        <v>2501556</v>
      </c>
      <c r="J211" s="51">
        <v>592871</v>
      </c>
      <c r="K211" s="3">
        <f t="shared" ref="K211:K212" si="89">I211-J211</f>
        <v>1908685</v>
      </c>
    </row>
    <row r="212" spans="1:11" x14ac:dyDescent="0.3">
      <c r="A212" s="262"/>
      <c r="B212" s="280"/>
      <c r="C212" s="18" t="s">
        <v>31</v>
      </c>
      <c r="D212" s="19">
        <v>466569</v>
      </c>
      <c r="E212" s="19"/>
      <c r="F212" s="19"/>
      <c r="G212" s="19"/>
      <c r="H212" s="19"/>
      <c r="I212" s="20">
        <f t="shared" ref="I212" si="90">D212+E212+F212+G212+H212</f>
        <v>466569</v>
      </c>
      <c r="J212" s="51">
        <v>115607</v>
      </c>
      <c r="K212" s="3">
        <f t="shared" si="89"/>
        <v>350962</v>
      </c>
    </row>
    <row r="213" spans="1:11" s="29" customFormat="1" ht="27" customHeight="1" x14ac:dyDescent="0.3">
      <c r="A213" s="257" t="s">
        <v>82</v>
      </c>
      <c r="B213" s="258"/>
      <c r="C213" s="259"/>
      <c r="D213" s="32">
        <f>SUM(D204+D205+D211+D212+D210)</f>
        <v>15776147</v>
      </c>
      <c r="E213" s="32">
        <f t="shared" ref="E213:H213" si="91">SUM(E204+E205+E211+E212+E210)</f>
        <v>536254</v>
      </c>
      <c r="F213" s="32">
        <f t="shared" si="91"/>
        <v>0</v>
      </c>
      <c r="G213" s="32">
        <f t="shared" si="91"/>
        <v>0</v>
      </c>
      <c r="H213" s="32">
        <f t="shared" si="91"/>
        <v>0</v>
      </c>
      <c r="I213" s="32">
        <f>SUM(I204+I205+I211+I212+I210)</f>
        <v>16312401</v>
      </c>
      <c r="J213" s="59">
        <f>SUM(J204+J205+J211+J212+J210)</f>
        <v>3730855</v>
      </c>
      <c r="K213" s="59">
        <f>SUM(K204+K205+K211+K212+K210)</f>
        <v>12581546</v>
      </c>
    </row>
    <row r="214" spans="1:11" s="23" customFormat="1" ht="27" customHeight="1" x14ac:dyDescent="0.3">
      <c r="A214" s="257" t="s">
        <v>74</v>
      </c>
      <c r="B214" s="258"/>
      <c r="C214" s="259"/>
      <c r="D214" s="22">
        <f t="shared" ref="D214:J214" si="92">SUM(D88+D113+D135+D156+D179+D197+D213)</f>
        <v>230443641</v>
      </c>
      <c r="E214" s="22">
        <f t="shared" si="92"/>
        <v>0</v>
      </c>
      <c r="F214" s="22">
        <f t="shared" si="92"/>
        <v>0</v>
      </c>
      <c r="G214" s="22">
        <f t="shared" si="92"/>
        <v>0</v>
      </c>
      <c r="H214" s="22">
        <f t="shared" si="92"/>
        <v>0</v>
      </c>
      <c r="I214" s="22">
        <f t="shared" si="92"/>
        <v>230443641</v>
      </c>
      <c r="J214" s="22">
        <f t="shared" si="92"/>
        <v>35812995</v>
      </c>
      <c r="K214" s="22">
        <f>SUM(K88+K113+K135+K156+K179+K197+K213)</f>
        <v>194630646</v>
      </c>
    </row>
    <row r="220" spans="1:11" ht="15" thickBot="1" x14ac:dyDescent="0.35"/>
    <row r="221" spans="1:11" ht="15" thickTop="1" x14ac:dyDescent="0.3">
      <c r="A221" s="283" t="s">
        <v>83</v>
      </c>
      <c r="B221" s="283"/>
      <c r="C221" s="283"/>
      <c r="D221" s="283"/>
      <c r="E221" s="283"/>
      <c r="F221" s="283"/>
      <c r="G221" s="283"/>
      <c r="H221" s="283"/>
      <c r="I221" s="283"/>
      <c r="J221" s="283"/>
    </row>
    <row r="222" spans="1:11" x14ac:dyDescent="0.3">
      <c r="A222" s="284" t="s">
        <v>0</v>
      </c>
      <c r="B222" s="284"/>
      <c r="C222" s="60" t="s">
        <v>3</v>
      </c>
      <c r="D222" s="61" t="s">
        <v>4</v>
      </c>
      <c r="E222" s="61" t="s">
        <v>70</v>
      </c>
      <c r="F222" s="61"/>
      <c r="G222" s="61"/>
      <c r="H222" s="61"/>
      <c r="I222" s="61" t="s">
        <v>89</v>
      </c>
      <c r="J222" s="62" t="s">
        <v>5</v>
      </c>
    </row>
    <row r="223" spans="1:11" x14ac:dyDescent="0.3">
      <c r="A223" s="284"/>
      <c r="B223" s="284"/>
      <c r="C223" s="33" t="s">
        <v>16</v>
      </c>
      <c r="D223" s="34">
        <f>D5+D14+D16+D18+D20+D22</f>
        <v>117230959</v>
      </c>
      <c r="E223" s="34">
        <f t="shared" ref="E223:J223" si="93">E5+E14+E16+E18+E20+E22</f>
        <v>0</v>
      </c>
      <c r="F223" s="34">
        <f t="shared" si="93"/>
        <v>0</v>
      </c>
      <c r="G223" s="34">
        <f t="shared" si="93"/>
        <v>0</v>
      </c>
      <c r="H223" s="34">
        <f t="shared" si="93"/>
        <v>0</v>
      </c>
      <c r="I223" s="34">
        <f t="shared" si="93"/>
        <v>117230959</v>
      </c>
      <c r="J223" s="34">
        <f t="shared" si="93"/>
        <v>10727934</v>
      </c>
    </row>
    <row r="224" spans="1:11" x14ac:dyDescent="0.3">
      <c r="A224" s="284"/>
      <c r="B224" s="284"/>
      <c r="C224" s="33" t="s">
        <v>17</v>
      </c>
      <c r="D224" s="34">
        <f>D6+D15+D17+D19+D21+D23</f>
        <v>16012810</v>
      </c>
      <c r="E224" s="34">
        <f t="shared" ref="E224:J224" si="94">E6+E15+E17+E19+E21+E23</f>
        <v>0</v>
      </c>
      <c r="F224" s="34">
        <f t="shared" si="94"/>
        <v>0</v>
      </c>
      <c r="G224" s="34">
        <f t="shared" si="94"/>
        <v>0</v>
      </c>
      <c r="H224" s="34">
        <f t="shared" si="94"/>
        <v>0</v>
      </c>
      <c r="I224" s="34">
        <f t="shared" si="94"/>
        <v>16012810</v>
      </c>
      <c r="J224" s="34">
        <f t="shared" si="94"/>
        <v>16012810</v>
      </c>
    </row>
    <row r="225" spans="1:10" x14ac:dyDescent="0.3">
      <c r="A225" s="284"/>
      <c r="B225" s="284"/>
      <c r="C225" s="33" t="s">
        <v>18</v>
      </c>
      <c r="D225" s="34">
        <f>D7</f>
        <v>96985672</v>
      </c>
      <c r="E225" s="34">
        <f t="shared" ref="E225:J225" si="95">E7</f>
        <v>0</v>
      </c>
      <c r="F225" s="34">
        <f t="shared" si="95"/>
        <v>0</v>
      </c>
      <c r="G225" s="34">
        <f t="shared" si="95"/>
        <v>0</v>
      </c>
      <c r="H225" s="34">
        <f t="shared" si="95"/>
        <v>0</v>
      </c>
      <c r="I225" s="34">
        <f t="shared" si="95"/>
        <v>96985672</v>
      </c>
      <c r="J225" s="34">
        <f t="shared" si="95"/>
        <v>22524698</v>
      </c>
    </row>
    <row r="226" spans="1:10" x14ac:dyDescent="0.3">
      <c r="A226" s="284"/>
      <c r="B226" s="284"/>
      <c r="C226" s="35" t="s">
        <v>22</v>
      </c>
      <c r="D226" s="34">
        <f>D8</f>
        <v>200000</v>
      </c>
      <c r="E226" s="34">
        <f t="shared" ref="E226:J226" si="96">E8</f>
        <v>0</v>
      </c>
      <c r="F226" s="34">
        <f t="shared" si="96"/>
        <v>0</v>
      </c>
      <c r="G226" s="34">
        <f t="shared" si="96"/>
        <v>0</v>
      </c>
      <c r="H226" s="34">
        <f t="shared" si="96"/>
        <v>0</v>
      </c>
      <c r="I226" s="34">
        <f t="shared" si="96"/>
        <v>200000</v>
      </c>
      <c r="J226" s="34">
        <f t="shared" si="96"/>
        <v>0</v>
      </c>
    </row>
    <row r="227" spans="1:10" x14ac:dyDescent="0.3">
      <c r="A227" s="284"/>
      <c r="B227" s="284"/>
      <c r="C227" s="35" t="s">
        <v>19</v>
      </c>
      <c r="D227" s="34">
        <f>D9</f>
        <v>13200</v>
      </c>
      <c r="E227" s="34">
        <f t="shared" ref="E227:J227" si="97">E9</f>
        <v>-1646</v>
      </c>
      <c r="F227" s="34">
        <f t="shared" si="97"/>
        <v>0</v>
      </c>
      <c r="G227" s="34">
        <f t="shared" si="97"/>
        <v>0</v>
      </c>
      <c r="H227" s="34">
        <f t="shared" si="97"/>
        <v>0</v>
      </c>
      <c r="I227" s="34">
        <f t="shared" si="97"/>
        <v>11554</v>
      </c>
      <c r="J227" s="34">
        <f t="shared" si="97"/>
        <v>2130</v>
      </c>
    </row>
    <row r="228" spans="1:10" x14ac:dyDescent="0.3">
      <c r="A228" s="284"/>
      <c r="B228" s="284"/>
      <c r="C228" s="35" t="s">
        <v>84</v>
      </c>
      <c r="D228" s="34">
        <f>D13+D11</f>
        <v>0</v>
      </c>
      <c r="E228" s="34">
        <f t="shared" ref="E228:J228" si="98">E13+E11</f>
        <v>2539</v>
      </c>
      <c r="F228" s="34">
        <f t="shared" si="98"/>
        <v>0</v>
      </c>
      <c r="G228" s="34">
        <f t="shared" si="98"/>
        <v>0</v>
      </c>
      <c r="H228" s="34">
        <f t="shared" si="98"/>
        <v>0</v>
      </c>
      <c r="I228" s="34">
        <f t="shared" si="98"/>
        <v>2539</v>
      </c>
      <c r="J228" s="34">
        <f t="shared" si="98"/>
        <v>2539</v>
      </c>
    </row>
    <row r="229" spans="1:10" x14ac:dyDescent="0.3">
      <c r="A229" s="284"/>
      <c r="B229" s="284"/>
      <c r="C229" s="33" t="s">
        <v>20</v>
      </c>
      <c r="D229" s="34">
        <f>D10+D12</f>
        <v>1000</v>
      </c>
      <c r="E229" s="34">
        <f t="shared" ref="E229:J229" si="99">E10+E12</f>
        <v>-893</v>
      </c>
      <c r="F229" s="34">
        <f t="shared" si="99"/>
        <v>0</v>
      </c>
      <c r="G229" s="34">
        <f t="shared" si="99"/>
        <v>0</v>
      </c>
      <c r="H229" s="34">
        <f t="shared" si="99"/>
        <v>0</v>
      </c>
      <c r="I229" s="34">
        <f t="shared" si="99"/>
        <v>107</v>
      </c>
      <c r="J229" s="34">
        <f t="shared" si="99"/>
        <v>87</v>
      </c>
    </row>
    <row r="230" spans="1:10" x14ac:dyDescent="0.3">
      <c r="A230" s="284"/>
      <c r="B230" s="284"/>
      <c r="C230" s="63" t="s">
        <v>86</v>
      </c>
      <c r="D230" s="64">
        <f>D13+D12+D11+D10+D9</f>
        <v>14200</v>
      </c>
      <c r="E230" s="64">
        <f t="shared" ref="E230:J230" si="100">E13+E12+E11+E10+E9</f>
        <v>0</v>
      </c>
      <c r="F230" s="64">
        <f t="shared" si="100"/>
        <v>0</v>
      </c>
      <c r="G230" s="64">
        <f t="shared" si="100"/>
        <v>0</v>
      </c>
      <c r="H230" s="64">
        <f t="shared" si="100"/>
        <v>0</v>
      </c>
      <c r="I230" s="64">
        <f t="shared" si="100"/>
        <v>14200</v>
      </c>
      <c r="J230" s="64">
        <f t="shared" si="100"/>
        <v>4756</v>
      </c>
    </row>
    <row r="231" spans="1:10" x14ac:dyDescent="0.3">
      <c r="A231" s="284"/>
      <c r="B231" s="284"/>
      <c r="C231" s="63" t="s">
        <v>87</v>
      </c>
      <c r="D231" s="64">
        <f>D23+D21+D19+D17+D15+D7+D6</f>
        <v>112998482</v>
      </c>
      <c r="E231" s="64">
        <f t="shared" ref="E231:J231" si="101">E23+E21+E19+E17+E15+E7+E6</f>
        <v>0</v>
      </c>
      <c r="F231" s="64">
        <f t="shared" si="101"/>
        <v>0</v>
      </c>
      <c r="G231" s="64">
        <f t="shared" si="101"/>
        <v>0</v>
      </c>
      <c r="H231" s="64">
        <f t="shared" si="101"/>
        <v>0</v>
      </c>
      <c r="I231" s="64">
        <f t="shared" si="101"/>
        <v>112998482</v>
      </c>
      <c r="J231" s="64">
        <f t="shared" si="101"/>
        <v>38537508</v>
      </c>
    </row>
    <row r="232" spans="1:10" x14ac:dyDescent="0.3">
      <c r="A232" s="284"/>
      <c r="B232" s="284"/>
      <c r="C232" s="33" t="s">
        <v>24</v>
      </c>
      <c r="D232" s="34">
        <f>D89+D111+D114+D133+D136+D154+D157+D177+D198+D211+D180+D86+D84+D52+D25</f>
        <v>128356144</v>
      </c>
      <c r="E232" s="34">
        <f t="shared" ref="E232:I232" si="102">E89+E111+E114+E133+E136+E154+E157+E177+E198+E211+E180+E86+E84+E52+E25</f>
        <v>-323923</v>
      </c>
      <c r="F232" s="34">
        <f t="shared" si="102"/>
        <v>0</v>
      </c>
      <c r="G232" s="34">
        <f t="shared" si="102"/>
        <v>0</v>
      </c>
      <c r="H232" s="34">
        <f t="shared" si="102"/>
        <v>0</v>
      </c>
      <c r="I232" s="34">
        <f t="shared" si="102"/>
        <v>128032221</v>
      </c>
      <c r="J232" s="34">
        <f>J211+J198+J180+J177+J157+J154+J136+J133+J114+J111+J89+J86+J84+J52+J25</f>
        <v>26517241</v>
      </c>
    </row>
    <row r="233" spans="1:10" x14ac:dyDescent="0.3">
      <c r="A233" s="284"/>
      <c r="B233" s="284"/>
      <c r="C233" s="33" t="s">
        <v>47</v>
      </c>
      <c r="D233" s="34">
        <f>D53</f>
        <v>2040480</v>
      </c>
      <c r="E233" s="34">
        <f t="shared" ref="E233:I233" si="103">E53</f>
        <v>0</v>
      </c>
      <c r="F233" s="34">
        <f t="shared" si="103"/>
        <v>0</v>
      </c>
      <c r="G233" s="34">
        <f t="shared" si="103"/>
        <v>0</v>
      </c>
      <c r="H233" s="34">
        <f t="shared" si="103"/>
        <v>0</v>
      </c>
      <c r="I233" s="34">
        <f t="shared" si="103"/>
        <v>2040480</v>
      </c>
      <c r="J233" s="41">
        <f>J53</f>
        <v>453207</v>
      </c>
    </row>
    <row r="234" spans="1:10" x14ac:dyDescent="0.3">
      <c r="A234" s="284"/>
      <c r="B234" s="284"/>
      <c r="C234" s="33" t="s">
        <v>48</v>
      </c>
      <c r="D234" s="34">
        <f>D54</f>
        <v>0</v>
      </c>
      <c r="E234" s="34">
        <f t="shared" ref="E234:I234" si="104">E54</f>
        <v>0</v>
      </c>
      <c r="F234" s="34">
        <f t="shared" si="104"/>
        <v>0</v>
      </c>
      <c r="G234" s="34">
        <f t="shared" si="104"/>
        <v>0</v>
      </c>
      <c r="H234" s="34">
        <f t="shared" si="104"/>
        <v>0</v>
      </c>
      <c r="I234" s="34">
        <f t="shared" si="104"/>
        <v>0</v>
      </c>
      <c r="J234" s="34">
        <f>J54</f>
        <v>0</v>
      </c>
    </row>
    <row r="235" spans="1:10" x14ac:dyDescent="0.3">
      <c r="A235" s="284"/>
      <c r="B235" s="284"/>
      <c r="C235" s="35" t="s">
        <v>25</v>
      </c>
      <c r="D235" s="34">
        <f>D199+D158+D137+D115+D90+D55+D26</f>
        <v>3992000</v>
      </c>
      <c r="E235" s="34">
        <f t="shared" ref="E235:I235" si="105">E199+E158+E137+E115+E90+E55+E26</f>
        <v>0</v>
      </c>
      <c r="F235" s="34">
        <f t="shared" si="105"/>
        <v>0</v>
      </c>
      <c r="G235" s="34">
        <f t="shared" si="105"/>
        <v>0</v>
      </c>
      <c r="H235" s="34">
        <f t="shared" si="105"/>
        <v>0</v>
      </c>
      <c r="I235" s="34">
        <f t="shared" si="105"/>
        <v>3992000</v>
      </c>
      <c r="J235" s="34">
        <f>J199+J158+J137+J115+J90+J55+J26</f>
        <v>0</v>
      </c>
    </row>
    <row r="236" spans="1:10" x14ac:dyDescent="0.3">
      <c r="A236" s="284"/>
      <c r="B236" s="284"/>
      <c r="C236" s="35" t="s">
        <v>26</v>
      </c>
      <c r="D236" s="34">
        <f>D200+D159+D138+D116+D91+D56+D27</f>
        <v>200000</v>
      </c>
      <c r="E236" s="34">
        <f t="shared" ref="E236:I236" si="106">E200+E159+E138+E116+E91+E56+E27</f>
        <v>0</v>
      </c>
      <c r="F236" s="34">
        <f t="shared" si="106"/>
        <v>0</v>
      </c>
      <c r="G236" s="34">
        <f t="shared" si="106"/>
        <v>0</v>
      </c>
      <c r="H236" s="34">
        <f t="shared" si="106"/>
        <v>0</v>
      </c>
      <c r="I236" s="34">
        <f t="shared" si="106"/>
        <v>200000</v>
      </c>
      <c r="J236" s="34">
        <f>J200+J159+J138+J116+J91+J56+J27</f>
        <v>0</v>
      </c>
    </row>
    <row r="237" spans="1:10" x14ac:dyDescent="0.3">
      <c r="A237" s="284"/>
      <c r="B237" s="284"/>
      <c r="C237" s="33" t="s">
        <v>27</v>
      </c>
      <c r="D237" s="34">
        <f>D201+D139+D92+D57+D28</f>
        <v>1661400</v>
      </c>
      <c r="E237" s="34">
        <f t="shared" ref="E237:I237" si="107">E201+E139+E92+E57+E28</f>
        <v>0</v>
      </c>
      <c r="F237" s="34">
        <f t="shared" si="107"/>
        <v>0</v>
      </c>
      <c r="G237" s="34">
        <f t="shared" si="107"/>
        <v>0</v>
      </c>
      <c r="H237" s="34">
        <f t="shared" si="107"/>
        <v>0</v>
      </c>
      <c r="I237" s="34">
        <f t="shared" si="107"/>
        <v>1661400</v>
      </c>
      <c r="J237" s="34">
        <f>J201+J139+J92+J57+J28</f>
        <v>185128</v>
      </c>
    </row>
    <row r="238" spans="1:10" x14ac:dyDescent="0.3">
      <c r="A238" s="284"/>
      <c r="B238" s="284"/>
      <c r="C238" s="35" t="s">
        <v>28</v>
      </c>
      <c r="D238" s="34">
        <f>D202+D160+D140+D117+D58+D29+D93</f>
        <v>481000</v>
      </c>
      <c r="E238" s="34">
        <f t="shared" ref="E238:I238" si="108">E202+E160+E140+E117+E58+E29+E93</f>
        <v>0</v>
      </c>
      <c r="F238" s="34">
        <f t="shared" si="108"/>
        <v>0</v>
      </c>
      <c r="G238" s="34">
        <f t="shared" si="108"/>
        <v>0</v>
      </c>
      <c r="H238" s="34">
        <f t="shared" si="108"/>
        <v>0</v>
      </c>
      <c r="I238" s="34">
        <f t="shared" si="108"/>
        <v>481000</v>
      </c>
      <c r="J238" s="34">
        <f>J202+J160+J140+J117+J58+J29+J93</f>
        <v>0</v>
      </c>
    </row>
    <row r="239" spans="1:10" x14ac:dyDescent="0.3">
      <c r="A239" s="284"/>
      <c r="B239" s="284"/>
      <c r="C239" s="33" t="s">
        <v>29</v>
      </c>
      <c r="D239" s="34">
        <f>D203+D175+D161+D141+D118+D109+D94+D82+D80+D59+D30+D131</f>
        <v>3451400</v>
      </c>
      <c r="E239" s="34">
        <f t="shared" ref="E239:I239" si="109">E203+E175+E161+E141+E118+E109+E94+E82+E80+E59+E30+E131</f>
        <v>323923</v>
      </c>
      <c r="F239" s="34">
        <f t="shared" si="109"/>
        <v>0</v>
      </c>
      <c r="G239" s="34">
        <f t="shared" si="109"/>
        <v>0</v>
      </c>
      <c r="H239" s="34">
        <f t="shared" si="109"/>
        <v>0</v>
      </c>
      <c r="I239" s="34">
        <f t="shared" si="109"/>
        <v>3775323</v>
      </c>
      <c r="J239" s="34">
        <f>J203+J175+J161+J141+J118+J109+J94+J82+J80+J59+J30+J131</f>
        <v>795533</v>
      </c>
    </row>
    <row r="240" spans="1:10" x14ac:dyDescent="0.3">
      <c r="A240" s="284"/>
      <c r="B240" s="284"/>
      <c r="C240" s="35" t="s">
        <v>30</v>
      </c>
      <c r="D240" s="34">
        <f>D162+D142+D119+D60+D31</f>
        <v>200000</v>
      </c>
      <c r="E240" s="34">
        <f t="shared" ref="E240:I240" si="110">E162+E142+E119+E60+E31</f>
        <v>0</v>
      </c>
      <c r="F240" s="34">
        <f t="shared" si="110"/>
        <v>0</v>
      </c>
      <c r="G240" s="34">
        <f t="shared" si="110"/>
        <v>0</v>
      </c>
      <c r="H240" s="34">
        <f t="shared" si="110"/>
        <v>0</v>
      </c>
      <c r="I240" s="34">
        <f t="shared" si="110"/>
        <v>200000</v>
      </c>
      <c r="J240" s="41">
        <f>SUM(J149)</f>
        <v>0</v>
      </c>
    </row>
    <row r="241" spans="1:10" x14ac:dyDescent="0.3">
      <c r="A241" s="284"/>
      <c r="B241" s="284"/>
      <c r="C241" s="63" t="s">
        <v>53</v>
      </c>
      <c r="D241" s="64">
        <f>D204+D181+D163+D143+D211+D177+D154+D133+D131+D175+D120+D111+D109+D96+D86+D84+D82+D80+D61+D32</f>
        <v>140382424</v>
      </c>
      <c r="E241" s="64">
        <f t="shared" ref="E241:J241" si="111">E204+E181+E163+E143+E211+E177+E154+E133+E131+E175+E120+E111+E109+E96+E86+E84+E82+E80+E61+E32</f>
        <v>0</v>
      </c>
      <c r="F241" s="64">
        <f t="shared" si="111"/>
        <v>0</v>
      </c>
      <c r="G241" s="64">
        <f t="shared" si="111"/>
        <v>0</v>
      </c>
      <c r="H241" s="64">
        <f t="shared" si="111"/>
        <v>0</v>
      </c>
      <c r="I241" s="64">
        <f t="shared" si="111"/>
        <v>140382424</v>
      </c>
      <c r="J241" s="64">
        <f t="shared" si="111"/>
        <v>27951109</v>
      </c>
    </row>
    <row r="242" spans="1:10" x14ac:dyDescent="0.3">
      <c r="A242" s="284"/>
      <c r="B242" s="284"/>
      <c r="C242" s="65" t="s">
        <v>31</v>
      </c>
      <c r="D242" s="64">
        <f>D205+D182+D178+D176+D212+D164+D155+D144+D134+D132+D121+D112+D110+D97+D87+D85+D83+D81+D62+D33</f>
        <v>27536677</v>
      </c>
      <c r="E242" s="64">
        <f t="shared" ref="E242:J242" si="112">E205+E182+E178+E176+E212+E164+E155+E144+E134+E132+E121+E112+E110+E97+E87+E85+E83+E81+E62+E33</f>
        <v>0</v>
      </c>
      <c r="F242" s="64">
        <f t="shared" si="112"/>
        <v>0</v>
      </c>
      <c r="G242" s="64">
        <f t="shared" si="112"/>
        <v>0</v>
      </c>
      <c r="H242" s="64">
        <f t="shared" si="112"/>
        <v>0</v>
      </c>
      <c r="I242" s="64">
        <f t="shared" si="112"/>
        <v>27536677</v>
      </c>
      <c r="J242" s="64">
        <f t="shared" si="112"/>
        <v>5507594</v>
      </c>
    </row>
    <row r="243" spans="1:10" x14ac:dyDescent="0.3">
      <c r="A243" s="284"/>
      <c r="B243" s="284"/>
      <c r="C243" s="33" t="s">
        <v>32</v>
      </c>
      <c r="D243" s="34">
        <f>D165+D145+D122+D98+D63+D34</f>
        <v>540000</v>
      </c>
      <c r="E243" s="34">
        <f t="shared" ref="E243:J243" si="113">E165+E145+E122+E98+E63+E34</f>
        <v>0</v>
      </c>
      <c r="F243" s="34">
        <f t="shared" si="113"/>
        <v>0</v>
      </c>
      <c r="G243" s="34">
        <f t="shared" si="113"/>
        <v>0</v>
      </c>
      <c r="H243" s="34">
        <f t="shared" si="113"/>
        <v>0</v>
      </c>
      <c r="I243" s="34">
        <f t="shared" si="113"/>
        <v>540000</v>
      </c>
      <c r="J243" s="34">
        <f t="shared" si="113"/>
        <v>0</v>
      </c>
    </row>
    <row r="244" spans="1:10" x14ac:dyDescent="0.3">
      <c r="A244" s="284"/>
      <c r="B244" s="284"/>
      <c r="C244" s="35" t="s">
        <v>33</v>
      </c>
      <c r="D244" s="34">
        <f>D183+D166+D146+D123+D99+D64+D35</f>
        <v>1700000</v>
      </c>
      <c r="E244" s="34">
        <f t="shared" ref="E244:J244" si="114">E183+E166+E146+E123+E99+E64+E35</f>
        <v>0</v>
      </c>
      <c r="F244" s="34">
        <f t="shared" si="114"/>
        <v>0</v>
      </c>
      <c r="G244" s="34">
        <f t="shared" si="114"/>
        <v>0</v>
      </c>
      <c r="H244" s="34">
        <f t="shared" si="114"/>
        <v>0</v>
      </c>
      <c r="I244" s="34">
        <f t="shared" si="114"/>
        <v>1700000</v>
      </c>
      <c r="J244" s="34">
        <f t="shared" si="114"/>
        <v>13072</v>
      </c>
    </row>
    <row r="245" spans="1:10" x14ac:dyDescent="0.3">
      <c r="A245" s="284"/>
      <c r="B245" s="284"/>
      <c r="C245" s="33" t="s">
        <v>34</v>
      </c>
      <c r="D245" s="34">
        <f>D167+D147+D124+D100+D65+D36</f>
        <v>1036000</v>
      </c>
      <c r="E245" s="34">
        <f t="shared" ref="E245:J245" si="115">E167+E147+E124+E100+E65+E36</f>
        <v>-48000</v>
      </c>
      <c r="F245" s="34">
        <f t="shared" si="115"/>
        <v>0</v>
      </c>
      <c r="G245" s="34">
        <f t="shared" si="115"/>
        <v>0</v>
      </c>
      <c r="H245" s="34">
        <f t="shared" si="115"/>
        <v>0</v>
      </c>
      <c r="I245" s="34">
        <f t="shared" si="115"/>
        <v>988000</v>
      </c>
      <c r="J245" s="34">
        <f t="shared" si="115"/>
        <v>41637</v>
      </c>
    </row>
    <row r="246" spans="1:10" x14ac:dyDescent="0.3">
      <c r="A246" s="284"/>
      <c r="B246" s="284"/>
      <c r="C246" s="33" t="s">
        <v>35</v>
      </c>
      <c r="D246" s="34">
        <f>D206+D168+D101+D66+D37</f>
        <v>610000</v>
      </c>
      <c r="E246" s="34">
        <f t="shared" ref="E246:J246" si="116">E206+E168+E101+E66+E37</f>
        <v>0</v>
      </c>
      <c r="F246" s="34">
        <f t="shared" si="116"/>
        <v>0</v>
      </c>
      <c r="G246" s="34">
        <f t="shared" si="116"/>
        <v>0</v>
      </c>
      <c r="H246" s="34">
        <f t="shared" si="116"/>
        <v>0</v>
      </c>
      <c r="I246" s="34">
        <f t="shared" si="116"/>
        <v>610000</v>
      </c>
      <c r="J246" s="34">
        <f t="shared" si="116"/>
        <v>55025</v>
      </c>
    </row>
    <row r="247" spans="1:10" x14ac:dyDescent="0.3">
      <c r="A247" s="284"/>
      <c r="B247" s="284"/>
      <c r="C247" s="33" t="s">
        <v>36</v>
      </c>
      <c r="D247" s="34">
        <f>D102+D67+D38</f>
        <v>1739080</v>
      </c>
      <c r="E247" s="34">
        <f t="shared" ref="E247:J247" si="117">E102+E67+E38</f>
        <v>0</v>
      </c>
      <c r="F247" s="34">
        <f t="shared" si="117"/>
        <v>0</v>
      </c>
      <c r="G247" s="34">
        <f t="shared" si="117"/>
        <v>0</v>
      </c>
      <c r="H247" s="34">
        <f t="shared" si="117"/>
        <v>0</v>
      </c>
      <c r="I247" s="34">
        <f t="shared" si="117"/>
        <v>1739080</v>
      </c>
      <c r="J247" s="34">
        <f t="shared" si="117"/>
        <v>633005</v>
      </c>
    </row>
    <row r="248" spans="1:10" x14ac:dyDescent="0.3">
      <c r="A248" s="284"/>
      <c r="B248" s="284"/>
      <c r="C248" s="35" t="s">
        <v>37</v>
      </c>
      <c r="D248" s="34">
        <f>D185+D170+D149+D126+D104+D70+D42</f>
        <v>16415104</v>
      </c>
      <c r="E248" s="34">
        <f t="shared" ref="E248:J248" si="118">E185+E170+E149+E126+E104+E70+E42</f>
        <v>0</v>
      </c>
      <c r="F248" s="34">
        <f t="shared" si="118"/>
        <v>0</v>
      </c>
      <c r="G248" s="34">
        <f t="shared" si="118"/>
        <v>0</v>
      </c>
      <c r="H248" s="34">
        <f t="shared" si="118"/>
        <v>0</v>
      </c>
      <c r="I248" s="34">
        <f t="shared" si="118"/>
        <v>16415104</v>
      </c>
      <c r="J248" s="34">
        <f t="shared" si="118"/>
        <v>125984</v>
      </c>
    </row>
    <row r="249" spans="1:10" x14ac:dyDescent="0.3">
      <c r="A249" s="284"/>
      <c r="B249" s="284"/>
      <c r="C249" s="33" t="s">
        <v>38</v>
      </c>
      <c r="D249" s="34">
        <f>D169+D148+D125+D103+D69+D40</f>
        <v>1394000</v>
      </c>
      <c r="E249" s="34">
        <f t="shared" ref="E249:J249" si="119">E169+E148+E125+E103+E69+E40</f>
        <v>0</v>
      </c>
      <c r="F249" s="34">
        <f t="shared" si="119"/>
        <v>0</v>
      </c>
      <c r="G249" s="34">
        <f t="shared" si="119"/>
        <v>0</v>
      </c>
      <c r="H249" s="34">
        <f t="shared" si="119"/>
        <v>0</v>
      </c>
      <c r="I249" s="34">
        <f t="shared" si="119"/>
        <v>1394000</v>
      </c>
      <c r="J249" s="34">
        <f t="shared" si="119"/>
        <v>104912</v>
      </c>
    </row>
    <row r="250" spans="1:10" x14ac:dyDescent="0.3">
      <c r="A250" s="284"/>
      <c r="B250" s="284"/>
      <c r="C250" s="33" t="s">
        <v>39</v>
      </c>
      <c r="D250" s="34">
        <f>D41</f>
        <v>13200</v>
      </c>
      <c r="E250" s="34">
        <f t="shared" ref="E250:J250" si="120">E41</f>
        <v>-1646</v>
      </c>
      <c r="F250" s="34">
        <f t="shared" si="120"/>
        <v>0</v>
      </c>
      <c r="G250" s="34">
        <f t="shared" si="120"/>
        <v>0</v>
      </c>
      <c r="H250" s="34">
        <f t="shared" si="120"/>
        <v>0</v>
      </c>
      <c r="I250" s="34">
        <f t="shared" si="120"/>
        <v>11554</v>
      </c>
      <c r="J250" s="34">
        <f t="shared" si="120"/>
        <v>3206</v>
      </c>
    </row>
    <row r="251" spans="1:10" x14ac:dyDescent="0.3">
      <c r="A251" s="284"/>
      <c r="B251" s="284"/>
      <c r="C251" s="36" t="s">
        <v>40</v>
      </c>
      <c r="D251" s="34">
        <f>D185+D170+D149+D126+D104+D70+D42</f>
        <v>16415104</v>
      </c>
      <c r="E251" s="34">
        <f t="shared" ref="E251:J251" si="121">E185+E170+E149+E126+E104+E70+E42</f>
        <v>0</v>
      </c>
      <c r="F251" s="34">
        <f t="shared" si="121"/>
        <v>0</v>
      </c>
      <c r="G251" s="34">
        <f t="shared" si="121"/>
        <v>0</v>
      </c>
      <c r="H251" s="34">
        <f t="shared" si="121"/>
        <v>0</v>
      </c>
      <c r="I251" s="34">
        <f t="shared" si="121"/>
        <v>16415104</v>
      </c>
      <c r="J251" s="34">
        <f t="shared" si="121"/>
        <v>125984</v>
      </c>
    </row>
    <row r="252" spans="1:10" x14ac:dyDescent="0.3">
      <c r="A252" s="284"/>
      <c r="B252" s="284"/>
      <c r="C252" s="33" t="s">
        <v>41</v>
      </c>
      <c r="D252" s="34">
        <f>D186+D171+D150+D127+D105+D71+D43</f>
        <v>26876743</v>
      </c>
      <c r="E252" s="34">
        <f t="shared" ref="E252:J252" si="122">E186+E171+E150+E127+E105+E71+E43</f>
        <v>49646</v>
      </c>
      <c r="F252" s="34">
        <f t="shared" si="122"/>
        <v>0</v>
      </c>
      <c r="G252" s="34">
        <f t="shared" si="122"/>
        <v>0</v>
      </c>
      <c r="H252" s="34">
        <f t="shared" si="122"/>
        <v>0</v>
      </c>
      <c r="I252" s="34">
        <f t="shared" si="122"/>
        <v>26926389</v>
      </c>
      <c r="J252" s="34">
        <f t="shared" si="122"/>
        <v>559940</v>
      </c>
    </row>
    <row r="253" spans="1:10" x14ac:dyDescent="0.3">
      <c r="A253" s="284"/>
      <c r="B253" s="284"/>
      <c r="C253" s="35" t="s">
        <v>42</v>
      </c>
      <c r="D253" s="34">
        <f>D207+D187+D172+D151+D128+D106+D72+D44</f>
        <v>2852000</v>
      </c>
      <c r="E253" s="34">
        <f t="shared" ref="E253:J253" si="123">E207+E187+E172+E151+E128+E106+E72+E44</f>
        <v>0</v>
      </c>
      <c r="F253" s="34">
        <f t="shared" si="123"/>
        <v>0</v>
      </c>
      <c r="G253" s="34">
        <f t="shared" si="123"/>
        <v>0</v>
      </c>
      <c r="H253" s="34">
        <f t="shared" si="123"/>
        <v>0</v>
      </c>
      <c r="I253" s="34">
        <f t="shared" si="123"/>
        <v>2852000</v>
      </c>
      <c r="J253" s="34">
        <f t="shared" si="123"/>
        <v>451035</v>
      </c>
    </row>
    <row r="254" spans="1:10" x14ac:dyDescent="0.3">
      <c r="A254" s="284"/>
      <c r="B254" s="284"/>
      <c r="C254" s="35" t="s">
        <v>43</v>
      </c>
      <c r="D254" s="34">
        <f>D45+D73+D188</f>
        <v>290000</v>
      </c>
      <c r="E254" s="34">
        <f t="shared" ref="E254:J254" si="124">E45+E73+E188</f>
        <v>0</v>
      </c>
      <c r="F254" s="34">
        <f t="shared" si="124"/>
        <v>0</v>
      </c>
      <c r="G254" s="34">
        <f t="shared" si="124"/>
        <v>0</v>
      </c>
      <c r="H254" s="34">
        <f t="shared" si="124"/>
        <v>0</v>
      </c>
      <c r="I254" s="34">
        <f t="shared" si="124"/>
        <v>290000</v>
      </c>
      <c r="J254" s="34">
        <f t="shared" si="124"/>
        <v>0</v>
      </c>
    </row>
    <row r="255" spans="1:10" x14ac:dyDescent="0.3">
      <c r="A255" s="284"/>
      <c r="B255" s="284"/>
      <c r="C255" s="33" t="s">
        <v>44</v>
      </c>
      <c r="D255" s="34">
        <f>D208+D189+D173+D152+D129+D107+D74+D46</f>
        <v>7754652</v>
      </c>
      <c r="E255" s="34">
        <f t="shared" ref="E255:J255" si="125">E208+E189+E173+E152+E129+E107+E74+E46</f>
        <v>0</v>
      </c>
      <c r="F255" s="34">
        <f t="shared" si="125"/>
        <v>0</v>
      </c>
      <c r="G255" s="34">
        <f t="shared" si="125"/>
        <v>0</v>
      </c>
      <c r="H255" s="34">
        <f t="shared" si="125"/>
        <v>0</v>
      </c>
      <c r="I255" s="34">
        <f t="shared" si="125"/>
        <v>7754652</v>
      </c>
      <c r="J255" s="34">
        <f t="shared" si="125"/>
        <v>183333</v>
      </c>
    </row>
    <row r="256" spans="1:10" x14ac:dyDescent="0.3">
      <c r="A256" s="284"/>
      <c r="B256" s="284"/>
      <c r="C256" s="37" t="s">
        <v>45</v>
      </c>
      <c r="D256" s="34">
        <f>D209+D190+D75+D47</f>
        <v>743011</v>
      </c>
      <c r="E256" s="34">
        <f t="shared" ref="E256:J256" si="126">E209+E190+E75+E47</f>
        <v>0</v>
      </c>
      <c r="F256" s="34">
        <f t="shared" si="126"/>
        <v>0</v>
      </c>
      <c r="G256" s="34">
        <f t="shared" si="126"/>
        <v>0</v>
      </c>
      <c r="H256" s="34">
        <f t="shared" si="126"/>
        <v>0</v>
      </c>
      <c r="I256" s="34">
        <f t="shared" si="126"/>
        <v>743011</v>
      </c>
      <c r="J256" s="34">
        <f t="shared" si="126"/>
        <v>183143</v>
      </c>
    </row>
    <row r="257" spans="1:10" x14ac:dyDescent="0.3">
      <c r="A257" s="284"/>
      <c r="B257" s="284"/>
      <c r="C257" s="63" t="s">
        <v>49</v>
      </c>
      <c r="D257" s="64">
        <f>D210+D191+D174+D153+D130+D108+D76+D48</f>
        <v>62319790</v>
      </c>
      <c r="E257" s="64">
        <f t="shared" ref="E257:J257" si="127">E210+E191+E174+E153+E130+E108+E76+E48</f>
        <v>0</v>
      </c>
      <c r="F257" s="64">
        <f t="shared" si="127"/>
        <v>0</v>
      </c>
      <c r="G257" s="64">
        <f t="shared" si="127"/>
        <v>0</v>
      </c>
      <c r="H257" s="64">
        <f t="shared" si="127"/>
        <v>0</v>
      </c>
      <c r="I257" s="64">
        <f t="shared" si="127"/>
        <v>62319790</v>
      </c>
      <c r="J257" s="64">
        <f t="shared" si="127"/>
        <v>2354292</v>
      </c>
    </row>
    <row r="258" spans="1:10" x14ac:dyDescent="0.3">
      <c r="A258" s="284"/>
      <c r="B258" s="284"/>
      <c r="C258" s="38" t="s">
        <v>50</v>
      </c>
      <c r="D258" s="34">
        <f>D193+D77+D49</f>
        <v>161220</v>
      </c>
      <c r="E258" s="34">
        <f t="shared" ref="E258:J258" si="128">E193+E77+E49</f>
        <v>0</v>
      </c>
      <c r="F258" s="34">
        <f t="shared" si="128"/>
        <v>0</v>
      </c>
      <c r="G258" s="34">
        <f t="shared" si="128"/>
        <v>0</v>
      </c>
      <c r="H258" s="34">
        <f t="shared" si="128"/>
        <v>0</v>
      </c>
      <c r="I258" s="34">
        <f t="shared" si="128"/>
        <v>161220</v>
      </c>
      <c r="J258" s="34">
        <f t="shared" si="128"/>
        <v>0</v>
      </c>
    </row>
    <row r="259" spans="1:10" x14ac:dyDescent="0.3">
      <c r="A259" s="284"/>
      <c r="B259" s="284"/>
      <c r="C259" s="37" t="s">
        <v>51</v>
      </c>
      <c r="D259" s="34">
        <f>D194+D78+D50</f>
        <v>43530</v>
      </c>
      <c r="E259" s="34">
        <f t="shared" ref="E259:J259" si="129">E194+E78+E50</f>
        <v>0</v>
      </c>
      <c r="F259" s="34">
        <f t="shared" si="129"/>
        <v>0</v>
      </c>
      <c r="G259" s="34">
        <f t="shared" si="129"/>
        <v>0</v>
      </c>
      <c r="H259" s="34">
        <f t="shared" si="129"/>
        <v>0</v>
      </c>
      <c r="I259" s="34">
        <f t="shared" si="129"/>
        <v>43530</v>
      </c>
      <c r="J259" s="34">
        <f t="shared" si="129"/>
        <v>0</v>
      </c>
    </row>
    <row r="260" spans="1:10" x14ac:dyDescent="0.3">
      <c r="A260" s="284"/>
      <c r="B260" s="284"/>
      <c r="C260" s="63" t="s">
        <v>52</v>
      </c>
      <c r="D260" s="66">
        <f>D195+D79+D51</f>
        <v>204750</v>
      </c>
      <c r="E260" s="66">
        <f t="shared" ref="E260:J260" si="130">E195+E79+E51</f>
        <v>0</v>
      </c>
      <c r="F260" s="66">
        <f t="shared" si="130"/>
        <v>0</v>
      </c>
      <c r="G260" s="66">
        <f t="shared" si="130"/>
        <v>0</v>
      </c>
      <c r="H260" s="66">
        <f t="shared" si="130"/>
        <v>0</v>
      </c>
      <c r="I260" s="66">
        <f t="shared" si="130"/>
        <v>204750</v>
      </c>
      <c r="J260" s="66">
        <f t="shared" si="130"/>
        <v>0</v>
      </c>
    </row>
    <row r="261" spans="1:10" x14ac:dyDescent="0.3">
      <c r="A261" s="284"/>
      <c r="B261" s="284"/>
      <c r="C261" s="67" t="s">
        <v>88</v>
      </c>
      <c r="D261" s="68">
        <f>D260+D257+D242+D241</f>
        <v>230443641</v>
      </c>
      <c r="E261" s="68">
        <f t="shared" ref="E261:J261" si="131">E260+E257+E242+E241</f>
        <v>0</v>
      </c>
      <c r="F261" s="68">
        <f t="shared" si="131"/>
        <v>0</v>
      </c>
      <c r="G261" s="68">
        <f t="shared" si="131"/>
        <v>0</v>
      </c>
      <c r="H261" s="68">
        <f t="shared" si="131"/>
        <v>0</v>
      </c>
      <c r="I261" s="68">
        <f t="shared" si="131"/>
        <v>230443641</v>
      </c>
      <c r="J261" s="68">
        <f t="shared" si="131"/>
        <v>35812995</v>
      </c>
    </row>
  </sheetData>
  <mergeCells count="73">
    <mergeCell ref="A221:J221"/>
    <mergeCell ref="A222:B261"/>
    <mergeCell ref="B8:B11"/>
    <mergeCell ref="B12:B13"/>
    <mergeCell ref="A5:A13"/>
    <mergeCell ref="A180:A196"/>
    <mergeCell ref="B180:B196"/>
    <mergeCell ref="B198:B210"/>
    <mergeCell ref="A198:A210"/>
    <mergeCell ref="A82:A83"/>
    <mergeCell ref="A84:A85"/>
    <mergeCell ref="A86:A87"/>
    <mergeCell ref="B80:B81"/>
    <mergeCell ref="B82:B83"/>
    <mergeCell ref="B84:B85"/>
    <mergeCell ref="B86:B87"/>
    <mergeCell ref="A1:K1"/>
    <mergeCell ref="A24:C24"/>
    <mergeCell ref="A214:C214"/>
    <mergeCell ref="A177:A178"/>
    <mergeCell ref="B177:B178"/>
    <mergeCell ref="A154:A155"/>
    <mergeCell ref="B154:B155"/>
    <mergeCell ref="A175:A176"/>
    <mergeCell ref="B175:B176"/>
    <mergeCell ref="A211:A212"/>
    <mergeCell ref="B211:B212"/>
    <mergeCell ref="A157:A174"/>
    <mergeCell ref="B157:B174"/>
    <mergeCell ref="A80:A81"/>
    <mergeCell ref="B114:B130"/>
    <mergeCell ref="A136:A153"/>
    <mergeCell ref="D3:D4"/>
    <mergeCell ref="B133:B134"/>
    <mergeCell ref="K3:K4"/>
    <mergeCell ref="J3:J4"/>
    <mergeCell ref="E3:H3"/>
    <mergeCell ref="B5:B7"/>
    <mergeCell ref="B14:B15"/>
    <mergeCell ref="C3:C4"/>
    <mergeCell ref="B3:B4"/>
    <mergeCell ref="A133:A134"/>
    <mergeCell ref="A14:A15"/>
    <mergeCell ref="A89:A108"/>
    <mergeCell ref="B89:B108"/>
    <mergeCell ref="I3:I4"/>
    <mergeCell ref="B25:B51"/>
    <mergeCell ref="B52:B79"/>
    <mergeCell ref="A25:A79"/>
    <mergeCell ref="B16:B17"/>
    <mergeCell ref="B18:B19"/>
    <mergeCell ref="A16:A17"/>
    <mergeCell ref="A18:A19"/>
    <mergeCell ref="B22:B23"/>
    <mergeCell ref="A22:A23"/>
    <mergeCell ref="A20:A21"/>
    <mergeCell ref="B20:B21"/>
    <mergeCell ref="A114:A130"/>
    <mergeCell ref="A3:A4"/>
    <mergeCell ref="A197:C197"/>
    <mergeCell ref="A213:C213"/>
    <mergeCell ref="A88:C88"/>
    <mergeCell ref="A113:C113"/>
    <mergeCell ref="A135:C135"/>
    <mergeCell ref="A156:C156"/>
    <mergeCell ref="A179:C179"/>
    <mergeCell ref="B136:B153"/>
    <mergeCell ref="A109:A110"/>
    <mergeCell ref="A111:A112"/>
    <mergeCell ref="B109:B110"/>
    <mergeCell ref="B111:B112"/>
    <mergeCell ref="A131:A132"/>
    <mergeCell ref="B131:B132"/>
  </mergeCells>
  <pageMargins left="0.7" right="0.7" top="0.75" bottom="0.75" header="0.3" footer="0.3"/>
  <pageSetup paperSize="8" scale="97" orientation="landscape" r:id="rId1"/>
  <rowBreaks count="5" manualBreakCount="5">
    <brk id="51" max="16383" man="1"/>
    <brk id="88" max="16383" man="1"/>
    <brk id="135" max="16383" man="1"/>
    <brk id="179" max="16383" man="1"/>
    <brk id="21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70"/>
  <sheetViews>
    <sheetView workbookViewId="0">
      <pane xSplit="3" ySplit="4" topLeftCell="D239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42.6640625" customWidth="1"/>
    <col min="3" max="3" width="7.6640625" customWidth="1"/>
    <col min="4" max="5" width="13.6640625" customWidth="1"/>
    <col min="6" max="6" width="10.33203125" customWidth="1"/>
    <col min="7" max="7" width="11.6640625" customWidth="1"/>
    <col min="8" max="9" width="10.33203125" bestFit="1" customWidth="1"/>
    <col min="10" max="10" width="13.88671875" bestFit="1" customWidth="1"/>
    <col min="11" max="11" width="16.44140625" style="118" customWidth="1"/>
    <col min="12" max="12" width="13.88671875" customWidth="1"/>
  </cols>
  <sheetData>
    <row r="1" spans="1:12" ht="21" x14ac:dyDescent="0.3">
      <c r="A1" s="375" t="s">
        <v>0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2" x14ac:dyDescent="0.3">
      <c r="B2" s="5"/>
      <c r="E2" s="4"/>
      <c r="F2" s="4"/>
      <c r="G2" s="4"/>
      <c r="H2" s="4"/>
      <c r="I2" s="4"/>
      <c r="J2" s="4"/>
      <c r="K2" s="107"/>
    </row>
    <row r="3" spans="1:12" ht="15" customHeight="1" x14ac:dyDescent="0.3">
      <c r="A3" s="376" t="s">
        <v>104</v>
      </c>
      <c r="B3" s="378" t="s">
        <v>105</v>
      </c>
      <c r="C3" s="376" t="s">
        <v>3</v>
      </c>
      <c r="D3" s="376" t="s">
        <v>4</v>
      </c>
      <c r="E3" s="380" t="s">
        <v>119</v>
      </c>
      <c r="F3" s="382" t="s">
        <v>160</v>
      </c>
      <c r="G3" s="383"/>
      <c r="H3" s="383"/>
      <c r="I3" s="384"/>
      <c r="J3" s="380" t="s">
        <v>159</v>
      </c>
      <c r="K3" s="385" t="s">
        <v>161</v>
      </c>
      <c r="L3" s="386" t="s">
        <v>162</v>
      </c>
    </row>
    <row r="4" spans="1:12" ht="26.4" x14ac:dyDescent="0.3">
      <c r="A4" s="377"/>
      <c r="B4" s="379"/>
      <c r="C4" s="377"/>
      <c r="D4" s="377"/>
      <c r="E4" s="381"/>
      <c r="F4" s="165" t="s">
        <v>70</v>
      </c>
      <c r="G4" s="166" t="s">
        <v>71</v>
      </c>
      <c r="H4" s="166" t="s">
        <v>71</v>
      </c>
      <c r="I4" s="166" t="s">
        <v>163</v>
      </c>
      <c r="J4" s="381"/>
      <c r="K4" s="385"/>
      <c r="L4" s="386"/>
    </row>
    <row r="5" spans="1:12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v>52737886</v>
      </c>
      <c r="F5" s="3"/>
      <c r="G5" s="3"/>
      <c r="H5" s="3"/>
      <c r="I5" s="3">
        <f>13947+23425</f>
        <v>37372</v>
      </c>
      <c r="J5" s="20">
        <f>E5+F5+G5+H5+I5</f>
        <v>52775258</v>
      </c>
      <c r="K5" s="108">
        <v>39650289</v>
      </c>
      <c r="L5" s="3">
        <f>J5-K5</f>
        <v>13124969</v>
      </c>
    </row>
    <row r="6" spans="1:12" x14ac:dyDescent="0.3">
      <c r="A6" s="285"/>
      <c r="B6" s="261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08">
        <v>7273070</v>
      </c>
      <c r="L6" s="3">
        <f t="shared" ref="L6:L23" si="1">J6-K6</f>
        <v>0</v>
      </c>
    </row>
    <row r="7" spans="1:12" x14ac:dyDescent="0.3">
      <c r="A7" s="285"/>
      <c r="B7" s="261"/>
      <c r="C7" s="2" t="s">
        <v>18</v>
      </c>
      <c r="D7" s="3">
        <v>96985672</v>
      </c>
      <c r="E7" s="3">
        <v>100329672</v>
      </c>
      <c r="F7" s="3"/>
      <c r="G7" s="3"/>
      <c r="H7" s="3"/>
      <c r="I7" s="3"/>
      <c r="J7" s="20">
        <f t="shared" si="0"/>
        <v>100329672</v>
      </c>
      <c r="K7" s="108">
        <v>77496655</v>
      </c>
      <c r="L7" s="3">
        <f t="shared" si="1"/>
        <v>22833017</v>
      </c>
    </row>
    <row r="8" spans="1:12" x14ac:dyDescent="0.3">
      <c r="A8" s="285"/>
      <c r="B8" s="264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08">
        <v>0</v>
      </c>
      <c r="L8" s="3">
        <f t="shared" si="1"/>
        <v>200000</v>
      </c>
    </row>
    <row r="9" spans="1:12" x14ac:dyDescent="0.3">
      <c r="A9" s="285"/>
      <c r="B9" s="268"/>
      <c r="C9" s="2" t="s">
        <v>19</v>
      </c>
      <c r="D9" s="3">
        <v>13200</v>
      </c>
      <c r="E9" s="3">
        <v>31926</v>
      </c>
      <c r="F9" s="3"/>
      <c r="G9" s="3"/>
      <c r="H9" s="3"/>
      <c r="I9" s="3"/>
      <c r="J9" s="20">
        <f t="shared" si="0"/>
        <v>31926</v>
      </c>
      <c r="K9" s="108">
        <v>24072</v>
      </c>
      <c r="L9" s="3">
        <f t="shared" si="1"/>
        <v>7854</v>
      </c>
    </row>
    <row r="10" spans="1:12" x14ac:dyDescent="0.3">
      <c r="A10" s="285"/>
      <c r="B10" s="268"/>
      <c r="C10" s="2" t="s">
        <v>20</v>
      </c>
      <c r="D10" s="3">
        <v>500</v>
      </c>
      <c r="E10" s="3">
        <v>1152</v>
      </c>
      <c r="F10" s="3"/>
      <c r="G10" s="3"/>
      <c r="H10" s="3"/>
      <c r="I10" s="3"/>
      <c r="J10" s="20">
        <f t="shared" si="0"/>
        <v>1152</v>
      </c>
      <c r="K10" s="108">
        <v>162</v>
      </c>
      <c r="L10" s="3">
        <f t="shared" si="1"/>
        <v>990</v>
      </c>
    </row>
    <row r="11" spans="1:12" x14ac:dyDescent="0.3">
      <c r="A11" s="285"/>
      <c r="B11" s="265"/>
      <c r="C11" s="2" t="s">
        <v>84</v>
      </c>
      <c r="D11" s="3">
        <v>0</v>
      </c>
      <c r="E11" s="3">
        <v>12948</v>
      </c>
      <c r="F11" s="3"/>
      <c r="G11" s="3"/>
      <c r="H11" s="3"/>
      <c r="I11" s="3"/>
      <c r="J11" s="20">
        <f t="shared" si="0"/>
        <v>12948</v>
      </c>
      <c r="K11" s="108">
        <v>4486</v>
      </c>
      <c r="L11" s="3">
        <f t="shared" si="1"/>
        <v>8462</v>
      </c>
    </row>
    <row r="12" spans="1:12" x14ac:dyDescent="0.3">
      <c r="A12" s="285"/>
      <c r="B12" s="264">
        <v>104043</v>
      </c>
      <c r="C12" s="2" t="s">
        <v>20</v>
      </c>
      <c r="D12" s="3">
        <v>500</v>
      </c>
      <c r="E12" s="3">
        <v>173</v>
      </c>
      <c r="F12" s="3"/>
      <c r="G12" s="3"/>
      <c r="H12" s="3"/>
      <c r="I12" s="3"/>
      <c r="J12" s="20">
        <f t="shared" si="0"/>
        <v>173</v>
      </c>
      <c r="K12" s="108">
        <v>163</v>
      </c>
      <c r="L12" s="3">
        <f t="shared" si="1"/>
        <v>10</v>
      </c>
    </row>
    <row r="13" spans="1:12" x14ac:dyDescent="0.3">
      <c r="A13" s="263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08">
        <v>1</v>
      </c>
      <c r="L13" s="3">
        <f t="shared" si="1"/>
        <v>0</v>
      </c>
    </row>
    <row r="14" spans="1:12" x14ac:dyDescent="0.3">
      <c r="A14" s="254" t="s">
        <v>7</v>
      </c>
      <c r="B14" s="261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>
        <v>21826</v>
      </c>
      <c r="J14" s="20">
        <f t="shared" si="0"/>
        <v>267808</v>
      </c>
      <c r="K14" s="108">
        <v>206315</v>
      </c>
      <c r="L14" s="3">
        <f t="shared" si="1"/>
        <v>61493</v>
      </c>
    </row>
    <row r="15" spans="1:12" x14ac:dyDescent="0.3">
      <c r="A15" s="254"/>
      <c r="B15" s="261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08">
        <v>1005557</v>
      </c>
      <c r="L15" s="3">
        <f t="shared" si="1"/>
        <v>0</v>
      </c>
    </row>
    <row r="16" spans="1:12" x14ac:dyDescent="0.3">
      <c r="A16" s="254" t="s">
        <v>8</v>
      </c>
      <c r="B16" s="261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>
        <v>16468</v>
      </c>
      <c r="J16" s="20">
        <f t="shared" si="0"/>
        <v>3120172</v>
      </c>
      <c r="K16" s="108">
        <v>2348434</v>
      </c>
      <c r="L16" s="3">
        <f t="shared" si="1"/>
        <v>771738</v>
      </c>
    </row>
    <row r="17" spans="1:12" x14ac:dyDescent="0.3">
      <c r="A17" s="254"/>
      <c r="B17" s="261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08">
        <v>440959</v>
      </c>
      <c r="L17" s="3">
        <f t="shared" si="1"/>
        <v>0</v>
      </c>
    </row>
    <row r="18" spans="1:12" x14ac:dyDescent="0.3">
      <c r="A18" s="254" t="s">
        <v>9</v>
      </c>
      <c r="B18" s="261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>
        <v>11257</v>
      </c>
      <c r="J18" s="20">
        <f t="shared" si="0"/>
        <v>1426144</v>
      </c>
      <c r="K18" s="108">
        <v>1075285</v>
      </c>
      <c r="L18" s="3">
        <f t="shared" si="1"/>
        <v>350859</v>
      </c>
    </row>
    <row r="19" spans="1:12" x14ac:dyDescent="0.3">
      <c r="A19" s="254"/>
      <c r="B19" s="261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08">
        <v>599759</v>
      </c>
      <c r="L19" s="3">
        <f t="shared" si="1"/>
        <v>0</v>
      </c>
    </row>
    <row r="20" spans="1:12" x14ac:dyDescent="0.3">
      <c r="A20" s="262" t="s">
        <v>54</v>
      </c>
      <c r="B20" s="264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08">
        <v>3042287</v>
      </c>
      <c r="L20" s="3">
        <f t="shared" si="1"/>
        <v>1014096</v>
      </c>
    </row>
    <row r="21" spans="1:12" x14ac:dyDescent="0.3">
      <c r="A21" s="263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08">
        <v>226299</v>
      </c>
      <c r="L21" s="3">
        <f t="shared" si="1"/>
        <v>0</v>
      </c>
    </row>
    <row r="22" spans="1:12" x14ac:dyDescent="0.3">
      <c r="A22" s="254" t="s">
        <v>10</v>
      </c>
      <c r="B22" s="261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08">
        <v>21324032</v>
      </c>
      <c r="L22" s="3">
        <f t="shared" si="1"/>
        <v>32303360</v>
      </c>
    </row>
    <row r="23" spans="1:12" x14ac:dyDescent="0.3">
      <c r="A23" s="254"/>
      <c r="B23" s="261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08">
        <v>6467166</v>
      </c>
      <c r="L23" s="3">
        <f t="shared" si="1"/>
        <v>0</v>
      </c>
    </row>
    <row r="24" spans="1:12" ht="30" customHeight="1" x14ac:dyDescent="0.3">
      <c r="A24" s="372" t="s">
        <v>73</v>
      </c>
      <c r="B24" s="373"/>
      <c r="C24" s="374"/>
      <c r="D24" s="163">
        <f t="shared" ref="D24:L24" si="2">SUM(D5:D23)</f>
        <v>230443641</v>
      </c>
      <c r="E24" s="163">
        <f t="shared" si="2"/>
        <v>231774916</v>
      </c>
      <c r="F24" s="163">
        <f t="shared" si="2"/>
        <v>0</v>
      </c>
      <c r="G24" s="163">
        <f t="shared" si="2"/>
        <v>0</v>
      </c>
      <c r="H24" s="163">
        <f t="shared" si="2"/>
        <v>0</v>
      </c>
      <c r="I24" s="163">
        <f t="shared" si="2"/>
        <v>86923</v>
      </c>
      <c r="J24" s="163">
        <f t="shared" si="2"/>
        <v>231861839</v>
      </c>
      <c r="K24" s="164">
        <f t="shared" si="2"/>
        <v>161184991</v>
      </c>
      <c r="L24" s="163">
        <f t="shared" si="2"/>
        <v>70676848</v>
      </c>
    </row>
    <row r="25" spans="1:12" x14ac:dyDescent="0.3">
      <c r="A25" s="254" t="s">
        <v>11</v>
      </c>
      <c r="B25" s="264" t="s">
        <v>23</v>
      </c>
      <c r="C25" s="2" t="s">
        <v>24</v>
      </c>
      <c r="D25" s="3">
        <v>35883092</v>
      </c>
      <c r="E25" s="3">
        <v>35438980</v>
      </c>
      <c r="F25" s="3"/>
      <c r="G25" s="3"/>
      <c r="H25" s="3"/>
      <c r="I25" s="3"/>
      <c r="J25" s="20">
        <f t="shared" ref="J25:J31" si="3">E25+F25+G25+H25+I25</f>
        <v>35438980</v>
      </c>
      <c r="K25" s="108">
        <v>27174704</v>
      </c>
      <c r="L25" s="3">
        <f t="shared" ref="L25:L31" si="4">J25-K25</f>
        <v>8264276</v>
      </c>
    </row>
    <row r="26" spans="1:12" x14ac:dyDescent="0.3">
      <c r="A26" s="254"/>
      <c r="B26" s="268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08">
        <v>1425000</v>
      </c>
      <c r="L26" s="3">
        <f t="shared" si="4"/>
        <v>117000</v>
      </c>
    </row>
    <row r="27" spans="1:12" x14ac:dyDescent="0.3">
      <c r="A27" s="254"/>
      <c r="B27" s="268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08">
        <v>0</v>
      </c>
      <c r="L27" s="3">
        <f t="shared" si="4"/>
        <v>80000</v>
      </c>
    </row>
    <row r="28" spans="1:12" x14ac:dyDescent="0.3">
      <c r="A28" s="254"/>
      <c r="B28" s="268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08">
        <v>566364</v>
      </c>
      <c r="L28" s="3">
        <f t="shared" si="4"/>
        <v>321222</v>
      </c>
    </row>
    <row r="29" spans="1:12" x14ac:dyDescent="0.3">
      <c r="A29" s="254"/>
      <c r="B29" s="268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08">
        <v>93000</v>
      </c>
      <c r="L29" s="3">
        <f t="shared" si="4"/>
        <v>97000</v>
      </c>
    </row>
    <row r="30" spans="1:12" x14ac:dyDescent="0.3">
      <c r="A30" s="254"/>
      <c r="B30" s="268"/>
      <c r="C30" s="2" t="s">
        <v>29</v>
      </c>
      <c r="D30" s="3">
        <v>1086500</v>
      </c>
      <c r="E30" s="3">
        <v>1484179</v>
      </c>
      <c r="F30" s="3">
        <v>-69236</v>
      </c>
      <c r="G30" s="3"/>
      <c r="H30" s="3"/>
      <c r="I30" s="3"/>
      <c r="J30" s="20">
        <f t="shared" si="3"/>
        <v>1414943</v>
      </c>
      <c r="K30" s="108">
        <v>703331</v>
      </c>
      <c r="L30" s="3">
        <f t="shared" si="4"/>
        <v>711612</v>
      </c>
    </row>
    <row r="31" spans="1:12" x14ac:dyDescent="0.3">
      <c r="A31" s="254"/>
      <c r="B31" s="268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08">
        <v>19652</v>
      </c>
      <c r="L31" s="3">
        <f t="shared" si="4"/>
        <v>80348</v>
      </c>
    </row>
    <row r="32" spans="1:12" x14ac:dyDescent="0.3">
      <c r="A32" s="254"/>
      <c r="B32" s="268"/>
      <c r="C32" s="6" t="s">
        <v>53</v>
      </c>
      <c r="D32" s="7">
        <f>SUM(D25:D31)</f>
        <v>39774992</v>
      </c>
      <c r="E32" s="7">
        <f t="shared" ref="E32:L32" si="5">SUM(E25:E31)</f>
        <v>39722745</v>
      </c>
      <c r="F32" s="7">
        <f t="shared" si="5"/>
        <v>-69236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39653509</v>
      </c>
      <c r="K32" s="110">
        <f t="shared" si="5"/>
        <v>29982051</v>
      </c>
      <c r="L32" s="7">
        <f t="shared" si="5"/>
        <v>9671458</v>
      </c>
    </row>
    <row r="33" spans="1:12" x14ac:dyDescent="0.3">
      <c r="A33" s="254"/>
      <c r="B33" s="268"/>
      <c r="C33" s="82" t="s">
        <v>31</v>
      </c>
      <c r="D33" s="83">
        <v>7793417</v>
      </c>
      <c r="E33" s="83">
        <v>7795732</v>
      </c>
      <c r="F33" s="83"/>
      <c r="G33" s="83"/>
      <c r="H33" s="83"/>
      <c r="I33" s="83"/>
      <c r="J33" s="84">
        <f t="shared" ref="J33:J47" si="6">E33+F33+G33+H33+I33</f>
        <v>7795732</v>
      </c>
      <c r="K33" s="111">
        <v>6110791</v>
      </c>
      <c r="L33" s="85">
        <f t="shared" ref="L33:L47" si="7">J33-K33</f>
        <v>1684941</v>
      </c>
    </row>
    <row r="34" spans="1:12" x14ac:dyDescent="0.3">
      <c r="A34" s="254"/>
      <c r="B34" s="268"/>
      <c r="C34" s="2" t="s">
        <v>32</v>
      </c>
      <c r="D34" s="3">
        <v>105000</v>
      </c>
      <c r="E34" s="3">
        <v>115000</v>
      </c>
      <c r="F34" s="3"/>
      <c r="G34" s="3"/>
      <c r="H34" s="3"/>
      <c r="I34" s="3"/>
      <c r="J34" s="20">
        <f t="shared" si="6"/>
        <v>115000</v>
      </c>
      <c r="K34" s="108">
        <v>24818</v>
      </c>
      <c r="L34" s="3">
        <f t="shared" si="7"/>
        <v>90182</v>
      </c>
    </row>
    <row r="35" spans="1:12" x14ac:dyDescent="0.3">
      <c r="A35" s="254"/>
      <c r="B35" s="268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08">
        <v>1922</v>
      </c>
      <c r="L35" s="3">
        <f t="shared" si="7"/>
        <v>498078</v>
      </c>
    </row>
    <row r="36" spans="1:12" x14ac:dyDescent="0.3">
      <c r="A36" s="254"/>
      <c r="B36" s="268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08">
        <v>95487</v>
      </c>
      <c r="L36" s="3">
        <f t="shared" si="7"/>
        <v>117513</v>
      </c>
    </row>
    <row r="37" spans="1:12" x14ac:dyDescent="0.3">
      <c r="A37" s="254"/>
      <c r="B37" s="268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08">
        <v>56715</v>
      </c>
      <c r="L37" s="3">
        <f t="shared" si="7"/>
        <v>105285</v>
      </c>
    </row>
    <row r="38" spans="1:12" x14ac:dyDescent="0.3">
      <c r="A38" s="254"/>
      <c r="B38" s="268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08">
        <v>388149</v>
      </c>
      <c r="L38" s="3">
        <f t="shared" si="7"/>
        <v>181391</v>
      </c>
    </row>
    <row r="39" spans="1:12" x14ac:dyDescent="0.3">
      <c r="A39" s="254"/>
      <c r="B39" s="268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08">
        <v>0</v>
      </c>
      <c r="L39" s="3">
        <f t="shared" si="7"/>
        <v>3000</v>
      </c>
    </row>
    <row r="40" spans="1:12" x14ac:dyDescent="0.3">
      <c r="A40" s="254"/>
      <c r="B40" s="268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08">
        <v>189040</v>
      </c>
      <c r="L40" s="3">
        <f t="shared" si="7"/>
        <v>267460</v>
      </c>
    </row>
    <row r="41" spans="1:12" x14ac:dyDescent="0.3">
      <c r="A41" s="254"/>
      <c r="B41" s="268"/>
      <c r="C41" s="2" t="s">
        <v>39</v>
      </c>
      <c r="D41" s="3">
        <v>13200</v>
      </c>
      <c r="E41" s="3">
        <v>31926</v>
      </c>
      <c r="F41" s="3"/>
      <c r="G41" s="3"/>
      <c r="H41" s="3"/>
      <c r="I41" s="3"/>
      <c r="J41" s="20">
        <f t="shared" si="6"/>
        <v>31926</v>
      </c>
      <c r="K41" s="108">
        <v>24072</v>
      </c>
      <c r="L41" s="3">
        <f t="shared" si="7"/>
        <v>7854</v>
      </c>
    </row>
    <row r="42" spans="1:12" x14ac:dyDescent="0.3">
      <c r="A42" s="254"/>
      <c r="B42" s="268"/>
      <c r="C42" s="2" t="s">
        <v>40</v>
      </c>
      <c r="D42" s="3">
        <v>137800</v>
      </c>
      <c r="E42" s="3">
        <v>62800</v>
      </c>
      <c r="F42" s="3"/>
      <c r="G42" s="3"/>
      <c r="H42" s="3"/>
      <c r="I42" s="3"/>
      <c r="J42" s="20">
        <f t="shared" si="6"/>
        <v>62800</v>
      </c>
      <c r="K42" s="108">
        <v>53500</v>
      </c>
      <c r="L42" s="3">
        <f t="shared" si="7"/>
        <v>9300</v>
      </c>
    </row>
    <row r="43" spans="1:12" x14ac:dyDescent="0.3">
      <c r="A43" s="254"/>
      <c r="B43" s="268"/>
      <c r="C43" s="2" t="s">
        <v>41</v>
      </c>
      <c r="D43" s="3">
        <v>582236</v>
      </c>
      <c r="E43" s="3">
        <v>578510</v>
      </c>
      <c r="F43" s="3"/>
      <c r="G43" s="3"/>
      <c r="H43" s="3"/>
      <c r="I43" s="3"/>
      <c r="J43" s="20">
        <f t="shared" si="6"/>
        <v>578510</v>
      </c>
      <c r="K43" s="108">
        <v>503727</v>
      </c>
      <c r="L43" s="3">
        <f t="shared" si="7"/>
        <v>74783</v>
      </c>
    </row>
    <row r="44" spans="1:12" x14ac:dyDescent="0.3">
      <c r="A44" s="254"/>
      <c r="B44" s="268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08">
        <v>322040</v>
      </c>
      <c r="L44" s="3">
        <f t="shared" si="7"/>
        <v>212005</v>
      </c>
    </row>
    <row r="45" spans="1:12" x14ac:dyDescent="0.3">
      <c r="A45" s="254"/>
      <c r="B45" s="268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08">
        <v>0</v>
      </c>
      <c r="L45" s="3">
        <f t="shared" si="7"/>
        <v>30000</v>
      </c>
    </row>
    <row r="46" spans="1:12" x14ac:dyDescent="0.3">
      <c r="A46" s="254"/>
      <c r="B46" s="268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08">
        <v>132970</v>
      </c>
      <c r="L46" s="3">
        <f t="shared" si="7"/>
        <v>85465</v>
      </c>
    </row>
    <row r="47" spans="1:12" x14ac:dyDescent="0.3">
      <c r="A47" s="254"/>
      <c r="B47" s="268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08">
        <v>63943</v>
      </c>
      <c r="L47" s="3">
        <f t="shared" si="7"/>
        <v>11821</v>
      </c>
    </row>
    <row r="48" spans="1:12" x14ac:dyDescent="0.3">
      <c r="A48" s="254"/>
      <c r="B48" s="268"/>
      <c r="C48" s="6" t="s">
        <v>49</v>
      </c>
      <c r="D48" s="7">
        <f>SUM(D34:D47)</f>
        <v>3863610</v>
      </c>
      <c r="E48" s="7">
        <v>3550520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3550520</v>
      </c>
      <c r="K48" s="110">
        <f t="shared" si="8"/>
        <v>1856383</v>
      </c>
      <c r="L48" s="7">
        <f t="shared" si="8"/>
        <v>1694137</v>
      </c>
    </row>
    <row r="49" spans="1:12" x14ac:dyDescent="0.3">
      <c r="A49" s="254"/>
      <c r="B49" s="268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08">
        <v>0</v>
      </c>
      <c r="L49" s="3">
        <f t="shared" ref="L49:L50" si="10">J49-K49</f>
        <v>78740</v>
      </c>
    </row>
    <row r="50" spans="1:12" x14ac:dyDescent="0.3">
      <c r="A50" s="254"/>
      <c r="B50" s="268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08">
        <v>0</v>
      </c>
      <c r="L50" s="3">
        <f t="shared" si="10"/>
        <v>21260</v>
      </c>
    </row>
    <row r="51" spans="1:12" x14ac:dyDescent="0.3">
      <c r="A51" s="254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0">
        <f t="shared" si="11"/>
        <v>0</v>
      </c>
      <c r="L51" s="7">
        <f t="shared" si="11"/>
        <v>100000</v>
      </c>
    </row>
    <row r="52" spans="1:12" x14ac:dyDescent="0.3">
      <c r="A52" s="254"/>
      <c r="B52" s="261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>
        <f>11870+19936</f>
        <v>31806</v>
      </c>
      <c r="J52" s="20">
        <f t="shared" ref="J52:J60" si="12">E52+F52+G52+H52+I52</f>
        <v>25175087</v>
      </c>
      <c r="K52" s="108">
        <v>18827037</v>
      </c>
      <c r="L52" s="3">
        <f t="shared" ref="L52:L60" si="13">J52-K52</f>
        <v>6348050</v>
      </c>
    </row>
    <row r="53" spans="1:12" x14ac:dyDescent="0.3">
      <c r="A53" s="254"/>
      <c r="B53" s="261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08">
        <v>1595194</v>
      </c>
      <c r="L53" s="3">
        <f t="shared" si="13"/>
        <v>445286</v>
      </c>
    </row>
    <row r="54" spans="1:12" x14ac:dyDescent="0.3">
      <c r="A54" s="254"/>
      <c r="B54" s="261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08">
        <v>0</v>
      </c>
      <c r="L54" s="3">
        <f t="shared" si="13"/>
        <v>0</v>
      </c>
    </row>
    <row r="55" spans="1:12" x14ac:dyDescent="0.3">
      <c r="A55" s="254"/>
      <c r="B55" s="261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08">
        <v>925000</v>
      </c>
      <c r="L55" s="3">
        <f t="shared" si="13"/>
        <v>100000</v>
      </c>
    </row>
    <row r="56" spans="1:12" x14ac:dyDescent="0.3">
      <c r="A56" s="254"/>
      <c r="B56" s="261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08">
        <v>0</v>
      </c>
      <c r="L56" s="3">
        <f t="shared" si="13"/>
        <v>60000</v>
      </c>
    </row>
    <row r="57" spans="1:12" x14ac:dyDescent="0.3">
      <c r="A57" s="254"/>
      <c r="B57" s="261"/>
      <c r="C57" s="2" t="s">
        <v>27</v>
      </c>
      <c r="D57" s="3">
        <v>240000</v>
      </c>
      <c r="E57" s="3">
        <v>229902</v>
      </c>
      <c r="F57" s="3"/>
      <c r="G57" s="3"/>
      <c r="H57" s="3"/>
      <c r="I57" s="3"/>
      <c r="J57" s="20">
        <f t="shared" si="12"/>
        <v>229902</v>
      </c>
      <c r="K57" s="108">
        <v>129870</v>
      </c>
      <c r="L57" s="3">
        <f t="shared" si="13"/>
        <v>100032</v>
      </c>
    </row>
    <row r="58" spans="1:12" x14ac:dyDescent="0.3">
      <c r="A58" s="254"/>
      <c r="B58" s="261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08">
        <v>57000</v>
      </c>
      <c r="L58" s="3">
        <f t="shared" si="13"/>
        <v>90000</v>
      </c>
    </row>
    <row r="59" spans="1:12" x14ac:dyDescent="0.3">
      <c r="A59" s="254"/>
      <c r="B59" s="261"/>
      <c r="C59" s="2" t="s">
        <v>29</v>
      </c>
      <c r="D59" s="3">
        <v>553500</v>
      </c>
      <c r="E59" s="3">
        <v>523080</v>
      </c>
      <c r="F59" s="3">
        <v>69236</v>
      </c>
      <c r="G59" s="3"/>
      <c r="H59" s="3"/>
      <c r="I59" s="3"/>
      <c r="J59" s="20">
        <f t="shared" si="12"/>
        <v>592316</v>
      </c>
      <c r="K59" s="108">
        <v>592316</v>
      </c>
      <c r="L59" s="3">
        <f t="shared" si="13"/>
        <v>0</v>
      </c>
    </row>
    <row r="60" spans="1:12" x14ac:dyDescent="0.3">
      <c r="A60" s="254"/>
      <c r="B60" s="261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08">
        <v>19652</v>
      </c>
      <c r="L60" s="3">
        <f t="shared" si="13"/>
        <v>80348</v>
      </c>
    </row>
    <row r="61" spans="1:12" x14ac:dyDescent="0.3">
      <c r="A61" s="254"/>
      <c r="B61" s="261"/>
      <c r="C61" s="6" t="s">
        <v>53</v>
      </c>
      <c r="D61" s="7">
        <f>SUM(D52:D60)</f>
        <v>29289325</v>
      </c>
      <c r="E61" s="7">
        <v>29268743</v>
      </c>
      <c r="F61" s="7">
        <f t="shared" ref="F61:L61" si="14">SUM(F52:F60)</f>
        <v>69236</v>
      </c>
      <c r="G61" s="7">
        <f t="shared" si="14"/>
        <v>0</v>
      </c>
      <c r="H61" s="7">
        <f t="shared" si="14"/>
        <v>0</v>
      </c>
      <c r="I61" s="7">
        <f t="shared" si="14"/>
        <v>31806</v>
      </c>
      <c r="J61" s="7">
        <f t="shared" si="14"/>
        <v>29369785</v>
      </c>
      <c r="K61" s="110">
        <f t="shared" si="14"/>
        <v>22146069</v>
      </c>
      <c r="L61" s="7">
        <f t="shared" si="14"/>
        <v>7223716</v>
      </c>
    </row>
    <row r="62" spans="1:12" x14ac:dyDescent="0.3">
      <c r="A62" s="254"/>
      <c r="B62" s="261"/>
      <c r="C62" s="82" t="s">
        <v>31</v>
      </c>
      <c r="D62" s="83">
        <v>5849797</v>
      </c>
      <c r="E62" s="83">
        <v>5853685</v>
      </c>
      <c r="F62" s="83"/>
      <c r="G62" s="83"/>
      <c r="H62" s="83"/>
      <c r="I62" s="83">
        <v>5566</v>
      </c>
      <c r="J62" s="84">
        <f t="shared" ref="J62:J75" si="15">E62+F62+G62+H62+I62</f>
        <v>5859251</v>
      </c>
      <c r="K62" s="111">
        <v>4688239</v>
      </c>
      <c r="L62" s="85">
        <f t="shared" ref="L62:L75" si="16">J62-K62</f>
        <v>1171012</v>
      </c>
    </row>
    <row r="63" spans="1:12" x14ac:dyDescent="0.3">
      <c r="A63" s="254"/>
      <c r="B63" s="261"/>
      <c r="C63" s="2" t="s">
        <v>32</v>
      </c>
      <c r="D63" s="3">
        <v>105000</v>
      </c>
      <c r="E63" s="3">
        <v>105000</v>
      </c>
      <c r="F63" s="3">
        <v>-13514</v>
      </c>
      <c r="G63" s="3"/>
      <c r="H63" s="3"/>
      <c r="I63" s="3"/>
      <c r="J63" s="20">
        <f t="shared" si="15"/>
        <v>91486</v>
      </c>
      <c r="K63" s="108">
        <v>24820</v>
      </c>
      <c r="L63" s="3">
        <f t="shared" si="16"/>
        <v>66666</v>
      </c>
    </row>
    <row r="64" spans="1:12" x14ac:dyDescent="0.3">
      <c r="A64" s="254"/>
      <c r="B64" s="261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08">
        <v>43894</v>
      </c>
      <c r="L64" s="3">
        <f t="shared" si="16"/>
        <v>656106</v>
      </c>
    </row>
    <row r="65" spans="1:12" x14ac:dyDescent="0.3">
      <c r="A65" s="254"/>
      <c r="B65" s="261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08">
        <v>87869</v>
      </c>
      <c r="L65" s="3">
        <f t="shared" si="16"/>
        <v>125131</v>
      </c>
    </row>
    <row r="66" spans="1:12" x14ac:dyDescent="0.3">
      <c r="A66" s="254"/>
      <c r="B66" s="261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08">
        <v>93967</v>
      </c>
      <c r="L66" s="3">
        <f t="shared" si="16"/>
        <v>28233</v>
      </c>
    </row>
    <row r="67" spans="1:12" x14ac:dyDescent="0.3">
      <c r="A67" s="254"/>
      <c r="B67" s="261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08">
        <v>467977</v>
      </c>
      <c r="L67" s="3">
        <f t="shared" si="16"/>
        <v>201563</v>
      </c>
    </row>
    <row r="68" spans="1:12" x14ac:dyDescent="0.3">
      <c r="A68" s="254"/>
      <c r="B68" s="261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08">
        <v>0</v>
      </c>
      <c r="L68" s="3">
        <f t="shared" si="16"/>
        <v>123000</v>
      </c>
    </row>
    <row r="69" spans="1:12" x14ac:dyDescent="0.3">
      <c r="A69" s="254"/>
      <c r="B69" s="261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08">
        <v>193540</v>
      </c>
      <c r="L69" s="3">
        <f t="shared" si="16"/>
        <v>266460</v>
      </c>
    </row>
    <row r="70" spans="1:12" x14ac:dyDescent="0.3">
      <c r="A70" s="254"/>
      <c r="B70" s="261"/>
      <c r="C70" s="2" t="s">
        <v>40</v>
      </c>
      <c r="D70" s="3">
        <v>1361904</v>
      </c>
      <c r="E70" s="3">
        <v>1361904</v>
      </c>
      <c r="F70" s="3">
        <f>-59000-49636</f>
        <v>-108636</v>
      </c>
      <c r="G70" s="3"/>
      <c r="H70" s="3"/>
      <c r="I70" s="3"/>
      <c r="J70" s="20">
        <f t="shared" si="15"/>
        <v>1253268</v>
      </c>
      <c r="K70" s="108">
        <v>544586</v>
      </c>
      <c r="L70" s="3">
        <f t="shared" si="16"/>
        <v>708682</v>
      </c>
    </row>
    <row r="71" spans="1:12" x14ac:dyDescent="0.3">
      <c r="A71" s="254"/>
      <c r="B71" s="261"/>
      <c r="C71" s="2" t="s">
        <v>41</v>
      </c>
      <c r="D71" s="3">
        <v>982236</v>
      </c>
      <c r="E71" s="3">
        <v>980551</v>
      </c>
      <c r="F71" s="3">
        <f>59000+49636</f>
        <v>108636</v>
      </c>
      <c r="G71" s="3"/>
      <c r="H71" s="3"/>
      <c r="I71" s="3"/>
      <c r="J71" s="20">
        <f t="shared" si="15"/>
        <v>1089187</v>
      </c>
      <c r="K71" s="108">
        <v>1027227</v>
      </c>
      <c r="L71" s="3">
        <f t="shared" si="16"/>
        <v>61960</v>
      </c>
    </row>
    <row r="72" spans="1:12" x14ac:dyDescent="0.3">
      <c r="A72" s="254"/>
      <c r="B72" s="261"/>
      <c r="C72" s="2" t="s">
        <v>42</v>
      </c>
      <c r="D72" s="3">
        <v>1200000</v>
      </c>
      <c r="E72" s="3">
        <v>1139045</v>
      </c>
      <c r="F72" s="3"/>
      <c r="G72" s="3"/>
      <c r="H72" s="3"/>
      <c r="I72" s="3"/>
      <c r="J72" s="20">
        <f t="shared" si="15"/>
        <v>1139045</v>
      </c>
      <c r="K72" s="108">
        <v>281975</v>
      </c>
      <c r="L72" s="3">
        <f t="shared" si="16"/>
        <v>857070</v>
      </c>
    </row>
    <row r="73" spans="1:12" x14ac:dyDescent="0.3">
      <c r="A73" s="254"/>
      <c r="B73" s="261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08">
        <v>0</v>
      </c>
      <c r="L73" s="3">
        <f t="shared" si="16"/>
        <v>30000</v>
      </c>
    </row>
    <row r="74" spans="1:12" x14ac:dyDescent="0.3">
      <c r="A74" s="254"/>
      <c r="B74" s="261"/>
      <c r="C74" s="2" t="s">
        <v>44</v>
      </c>
      <c r="D74" s="3">
        <v>1041508</v>
      </c>
      <c r="E74" s="3">
        <v>980423</v>
      </c>
      <c r="F74" s="3">
        <v>-985</v>
      </c>
      <c r="G74" s="3"/>
      <c r="H74" s="3"/>
      <c r="I74" s="3"/>
      <c r="J74" s="20">
        <f t="shared" si="15"/>
        <v>979438</v>
      </c>
      <c r="K74" s="108">
        <v>271977</v>
      </c>
      <c r="L74" s="3">
        <f t="shared" si="16"/>
        <v>707461</v>
      </c>
    </row>
    <row r="75" spans="1:12" x14ac:dyDescent="0.3">
      <c r="A75" s="254"/>
      <c r="B75" s="261"/>
      <c r="C75" s="2" t="s">
        <v>45</v>
      </c>
      <c r="D75" s="3">
        <v>433021</v>
      </c>
      <c r="E75" s="3">
        <v>134003</v>
      </c>
      <c r="F75" s="3">
        <v>-26400</v>
      </c>
      <c r="G75" s="3"/>
      <c r="H75" s="3"/>
      <c r="I75" s="3"/>
      <c r="J75" s="20">
        <f t="shared" si="15"/>
        <v>107603</v>
      </c>
      <c r="K75" s="108">
        <v>0</v>
      </c>
      <c r="L75" s="3">
        <f t="shared" si="16"/>
        <v>107603</v>
      </c>
    </row>
    <row r="76" spans="1:12" x14ac:dyDescent="0.3">
      <c r="A76" s="254"/>
      <c r="B76" s="261"/>
      <c r="C76" s="6" t="s">
        <v>49</v>
      </c>
      <c r="D76" s="7">
        <f>SUM(D63:D75)</f>
        <v>7607209</v>
      </c>
      <c r="E76" s="7">
        <v>7018666</v>
      </c>
      <c r="F76" s="7">
        <f t="shared" ref="F76:L76" si="17">SUM(F63:F75)</f>
        <v>-40899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6977767</v>
      </c>
      <c r="K76" s="110">
        <f t="shared" si="17"/>
        <v>3037832</v>
      </c>
      <c r="L76" s="7">
        <f t="shared" si="17"/>
        <v>3939935</v>
      </c>
    </row>
    <row r="77" spans="1:12" x14ac:dyDescent="0.3">
      <c r="A77" s="254"/>
      <c r="B77" s="261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08">
        <v>0</v>
      </c>
      <c r="L77" s="3">
        <f t="shared" ref="L77:L78" si="19">J77-K77</f>
        <v>78740</v>
      </c>
    </row>
    <row r="78" spans="1:12" x14ac:dyDescent="0.3">
      <c r="A78" s="254"/>
      <c r="B78" s="261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08">
        <v>0</v>
      </c>
      <c r="L78" s="3">
        <f t="shared" si="19"/>
        <v>21260</v>
      </c>
    </row>
    <row r="79" spans="1:12" x14ac:dyDescent="0.3">
      <c r="A79" s="254"/>
      <c r="B79" s="261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0">
        <f t="shared" si="20"/>
        <v>0</v>
      </c>
      <c r="L79" s="7">
        <f t="shared" si="20"/>
        <v>100000</v>
      </c>
    </row>
    <row r="80" spans="1:12" x14ac:dyDescent="0.3">
      <c r="A80" s="281" t="s">
        <v>58</v>
      </c>
      <c r="B80" s="280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08">
        <v>359400</v>
      </c>
      <c r="L80" s="3">
        <f t="shared" ref="L80:L87" si="22">J80-K80</f>
        <v>51000</v>
      </c>
    </row>
    <row r="81" spans="1:12" x14ac:dyDescent="0.3">
      <c r="A81" s="282"/>
      <c r="B81" s="28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08">
        <v>67900</v>
      </c>
      <c r="L81" s="3">
        <f t="shared" si="22"/>
        <v>8366</v>
      </c>
    </row>
    <row r="82" spans="1:12" x14ac:dyDescent="0.3">
      <c r="A82" s="281" t="s">
        <v>59</v>
      </c>
      <c r="B82" s="280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08">
        <v>288800</v>
      </c>
      <c r="L82" s="3">
        <f t="shared" si="22"/>
        <v>314800</v>
      </c>
    </row>
    <row r="83" spans="1:12" x14ac:dyDescent="0.3">
      <c r="A83" s="282"/>
      <c r="B83" s="28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08">
        <v>54729</v>
      </c>
      <c r="L83" s="3">
        <f t="shared" si="22"/>
        <v>57440</v>
      </c>
    </row>
    <row r="84" spans="1:12" x14ac:dyDescent="0.3">
      <c r="A84" s="281" t="s">
        <v>60</v>
      </c>
      <c r="B84" s="280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08">
        <v>8615160</v>
      </c>
      <c r="L84" s="3">
        <f t="shared" si="22"/>
        <v>2061066</v>
      </c>
    </row>
    <row r="85" spans="1:12" x14ac:dyDescent="0.3">
      <c r="A85" s="282"/>
      <c r="B85" s="28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08">
        <v>1627886</v>
      </c>
      <c r="L85" s="3">
        <f t="shared" si="22"/>
        <v>361379</v>
      </c>
    </row>
    <row r="86" spans="1:12" x14ac:dyDescent="0.3">
      <c r="A86" s="281" t="s">
        <v>61</v>
      </c>
      <c r="B86" s="280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08">
        <v>6324311</v>
      </c>
      <c r="L86" s="3">
        <f t="shared" si="22"/>
        <v>2073363</v>
      </c>
    </row>
    <row r="87" spans="1:12" x14ac:dyDescent="0.3">
      <c r="A87" s="282"/>
      <c r="B87" s="28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08">
        <v>1195009</v>
      </c>
      <c r="L87" s="3">
        <f t="shared" si="22"/>
        <v>368344</v>
      </c>
    </row>
    <row r="88" spans="1:12" x14ac:dyDescent="0.3">
      <c r="A88" s="319" t="s">
        <v>76</v>
      </c>
      <c r="B88" s="320"/>
      <c r="C88" s="321"/>
      <c r="D88" s="80">
        <f t="shared" ref="D88:L88" si="23">SUM(D32+D33+D48+D51+D61+D62+D76+D79+D80+D81+D82+D83+D84+D85+D86+D87)</f>
        <v>118207303</v>
      </c>
      <c r="E88" s="80">
        <f t="shared" si="23"/>
        <v>117239044</v>
      </c>
      <c r="F88" s="80">
        <f t="shared" si="23"/>
        <v>-40899</v>
      </c>
      <c r="G88" s="80">
        <f t="shared" si="23"/>
        <v>0</v>
      </c>
      <c r="H88" s="80">
        <f t="shared" si="23"/>
        <v>0</v>
      </c>
      <c r="I88" s="80">
        <f t="shared" si="23"/>
        <v>37372</v>
      </c>
      <c r="J88" s="80">
        <f t="shared" si="23"/>
        <v>117235517</v>
      </c>
      <c r="K88" s="80">
        <f t="shared" si="23"/>
        <v>86354560</v>
      </c>
      <c r="L88" s="80">
        <f t="shared" si="23"/>
        <v>30880957</v>
      </c>
    </row>
    <row r="89" spans="1:12" x14ac:dyDescent="0.3">
      <c r="A89" s="254" t="s">
        <v>12</v>
      </c>
      <c r="B89" s="261" t="s">
        <v>23</v>
      </c>
      <c r="C89" s="2" t="s">
        <v>24</v>
      </c>
      <c r="D89" s="3">
        <v>4811583</v>
      </c>
      <c r="E89" s="3">
        <v>4902465</v>
      </c>
      <c r="F89" s="3"/>
      <c r="G89" s="3"/>
      <c r="H89" s="3"/>
      <c r="I89" s="3">
        <v>18575</v>
      </c>
      <c r="J89" s="20">
        <f t="shared" ref="J89:J95" si="24">E89+F89+G89+H89+I89</f>
        <v>4921040</v>
      </c>
      <c r="K89" s="108">
        <v>3758552</v>
      </c>
      <c r="L89" s="3">
        <f t="shared" ref="L89:L95" si="25">J89-K89</f>
        <v>1162488</v>
      </c>
    </row>
    <row r="90" spans="1:12" x14ac:dyDescent="0.3">
      <c r="A90" s="254"/>
      <c r="B90" s="261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4"/>
        <v>200000</v>
      </c>
      <c r="K90" s="108">
        <v>200000</v>
      </c>
      <c r="L90" s="3">
        <f t="shared" si="25"/>
        <v>0</v>
      </c>
    </row>
    <row r="91" spans="1:12" x14ac:dyDescent="0.3">
      <c r="A91" s="254"/>
      <c r="B91" s="261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4"/>
        <v>10000</v>
      </c>
      <c r="K91" s="108">
        <v>0</v>
      </c>
      <c r="L91" s="3">
        <f t="shared" si="25"/>
        <v>10000</v>
      </c>
    </row>
    <row r="92" spans="1:12" x14ac:dyDescent="0.3">
      <c r="A92" s="254"/>
      <c r="B92" s="261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4"/>
        <v>198000</v>
      </c>
      <c r="K92" s="108">
        <v>121500</v>
      </c>
      <c r="L92" s="3">
        <f t="shared" si="25"/>
        <v>76500</v>
      </c>
    </row>
    <row r="93" spans="1:12" x14ac:dyDescent="0.3">
      <c r="A93" s="254"/>
      <c r="B93" s="261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4"/>
        <v>24000</v>
      </c>
      <c r="K93" s="108">
        <v>12000</v>
      </c>
      <c r="L93" s="3">
        <f t="shared" si="25"/>
        <v>12000</v>
      </c>
    </row>
    <row r="94" spans="1:12" x14ac:dyDescent="0.3">
      <c r="A94" s="254"/>
      <c r="B94" s="261"/>
      <c r="C94" s="2" t="s">
        <v>29</v>
      </c>
      <c r="D94" s="3">
        <v>75000</v>
      </c>
      <c r="E94" s="3">
        <v>253715</v>
      </c>
      <c r="F94" s="3"/>
      <c r="G94" s="3"/>
      <c r="H94" s="3"/>
      <c r="I94" s="3"/>
      <c r="J94" s="20">
        <f t="shared" si="24"/>
        <v>253715</v>
      </c>
      <c r="K94" s="108">
        <v>82715</v>
      </c>
      <c r="L94" s="3">
        <f t="shared" si="25"/>
        <v>171000</v>
      </c>
    </row>
    <row r="95" spans="1:12" x14ac:dyDescent="0.3">
      <c r="A95" s="254"/>
      <c r="B95" s="261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4"/>
        <v>0</v>
      </c>
      <c r="K95" s="108">
        <v>0</v>
      </c>
      <c r="L95" s="3">
        <f t="shared" si="25"/>
        <v>0</v>
      </c>
    </row>
    <row r="96" spans="1:12" x14ac:dyDescent="0.3">
      <c r="A96" s="254"/>
      <c r="B96" s="261"/>
      <c r="C96" s="6" t="s">
        <v>53</v>
      </c>
      <c r="D96" s="7">
        <f>SUM(D89:D95)</f>
        <v>5318583</v>
      </c>
      <c r="E96" s="7">
        <v>5588180</v>
      </c>
      <c r="F96" s="7">
        <f t="shared" ref="F96:L96" si="26">SUM(F89:F95)</f>
        <v>0</v>
      </c>
      <c r="G96" s="7">
        <f t="shared" si="26"/>
        <v>0</v>
      </c>
      <c r="H96" s="7">
        <f t="shared" si="26"/>
        <v>0</v>
      </c>
      <c r="I96" s="7">
        <f t="shared" si="26"/>
        <v>18575</v>
      </c>
      <c r="J96" s="7">
        <f t="shared" si="26"/>
        <v>5606755</v>
      </c>
      <c r="K96" s="110">
        <f t="shared" si="26"/>
        <v>4174767</v>
      </c>
      <c r="L96" s="7">
        <f t="shared" si="26"/>
        <v>1431988</v>
      </c>
    </row>
    <row r="97" spans="1:12" x14ac:dyDescent="0.3">
      <c r="A97" s="254"/>
      <c r="B97" s="261"/>
      <c r="C97" s="82" t="s">
        <v>31</v>
      </c>
      <c r="D97" s="83">
        <v>1035556</v>
      </c>
      <c r="E97" s="83">
        <v>1088127</v>
      </c>
      <c r="F97" s="83"/>
      <c r="G97" s="83"/>
      <c r="H97" s="83"/>
      <c r="I97" s="83">
        <v>3251</v>
      </c>
      <c r="J97" s="84">
        <f t="shared" ref="J97:J107" si="27">E97+F97+G97+H97+I97</f>
        <v>1091378</v>
      </c>
      <c r="K97" s="111">
        <v>850400</v>
      </c>
      <c r="L97" s="85">
        <f t="shared" ref="L97:L107" si="28">J97-K97</f>
        <v>240978</v>
      </c>
    </row>
    <row r="98" spans="1:12" x14ac:dyDescent="0.3">
      <c r="A98" s="254"/>
      <c r="B98" s="261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7"/>
        <v>100000</v>
      </c>
      <c r="K98" s="108">
        <v>0</v>
      </c>
      <c r="L98" s="3">
        <f t="shared" si="28"/>
        <v>100000</v>
      </c>
    </row>
    <row r="99" spans="1:12" x14ac:dyDescent="0.3">
      <c r="A99" s="254"/>
      <c r="B99" s="261"/>
      <c r="C99" s="2" t="s">
        <v>33</v>
      </c>
      <c r="D99" s="3">
        <v>100000</v>
      </c>
      <c r="E99" s="3">
        <v>70000</v>
      </c>
      <c r="F99" s="3"/>
      <c r="G99" s="3"/>
      <c r="H99" s="3"/>
      <c r="I99" s="3"/>
      <c r="J99" s="20">
        <f t="shared" si="27"/>
        <v>70000</v>
      </c>
      <c r="K99" s="108">
        <v>0</v>
      </c>
      <c r="L99" s="3">
        <f t="shared" si="28"/>
        <v>70000</v>
      </c>
    </row>
    <row r="100" spans="1:12" x14ac:dyDescent="0.3">
      <c r="A100" s="254"/>
      <c r="B100" s="261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7"/>
        <v>210000</v>
      </c>
      <c r="K100" s="108">
        <v>0</v>
      </c>
      <c r="L100" s="3">
        <f t="shared" si="28"/>
        <v>210000</v>
      </c>
    </row>
    <row r="101" spans="1:12" x14ac:dyDescent="0.3">
      <c r="A101" s="254"/>
      <c r="B101" s="261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7"/>
        <v>110000</v>
      </c>
      <c r="K101" s="108">
        <v>0</v>
      </c>
      <c r="L101" s="3">
        <f t="shared" si="28"/>
        <v>110000</v>
      </c>
    </row>
    <row r="102" spans="1:12" x14ac:dyDescent="0.3">
      <c r="A102" s="254"/>
      <c r="B102" s="261"/>
      <c r="C102" s="2" t="s">
        <v>36</v>
      </c>
      <c r="D102" s="3">
        <v>500000</v>
      </c>
      <c r="E102" s="3">
        <v>499100</v>
      </c>
      <c r="F102" s="3"/>
      <c r="G102" s="3"/>
      <c r="H102" s="3"/>
      <c r="I102" s="3"/>
      <c r="J102" s="20">
        <f t="shared" si="27"/>
        <v>499100</v>
      </c>
      <c r="K102" s="108">
        <v>353510</v>
      </c>
      <c r="L102" s="3">
        <f t="shared" si="28"/>
        <v>145590</v>
      </c>
    </row>
    <row r="103" spans="1:12" x14ac:dyDescent="0.3">
      <c r="A103" s="254"/>
      <c r="B103" s="261"/>
      <c r="C103" s="2" t="s">
        <v>38</v>
      </c>
      <c r="D103" s="3">
        <v>140000</v>
      </c>
      <c r="E103" s="3">
        <v>135380</v>
      </c>
      <c r="F103" s="3"/>
      <c r="G103" s="3"/>
      <c r="H103" s="3"/>
      <c r="I103" s="3"/>
      <c r="J103" s="20">
        <f t="shared" si="27"/>
        <v>135380</v>
      </c>
      <c r="K103" s="108">
        <v>0</v>
      </c>
      <c r="L103" s="3">
        <f t="shared" si="28"/>
        <v>135380</v>
      </c>
    </row>
    <row r="104" spans="1:12" x14ac:dyDescent="0.3">
      <c r="A104" s="254"/>
      <c r="B104" s="261"/>
      <c r="C104" s="2" t="s">
        <v>40</v>
      </c>
      <c r="D104" s="3">
        <v>16800</v>
      </c>
      <c r="E104" s="3">
        <v>20200</v>
      </c>
      <c r="F104" s="3"/>
      <c r="G104" s="3"/>
      <c r="H104" s="3"/>
      <c r="I104" s="3"/>
      <c r="J104" s="20">
        <f t="shared" si="27"/>
        <v>20200</v>
      </c>
      <c r="K104" s="108">
        <v>6800</v>
      </c>
      <c r="L104" s="3">
        <f t="shared" si="28"/>
        <v>13400</v>
      </c>
    </row>
    <row r="105" spans="1:12" x14ac:dyDescent="0.3">
      <c r="A105" s="254"/>
      <c r="B105" s="261"/>
      <c r="C105" s="2" t="s">
        <v>41</v>
      </c>
      <c r="D105" s="3">
        <v>80000</v>
      </c>
      <c r="E105" s="3">
        <v>117280</v>
      </c>
      <c r="F105" s="3"/>
      <c r="G105" s="3"/>
      <c r="H105" s="3"/>
      <c r="I105" s="3"/>
      <c r="J105" s="20">
        <f t="shared" si="27"/>
        <v>117280</v>
      </c>
      <c r="K105" s="108">
        <v>87860</v>
      </c>
      <c r="L105" s="3">
        <f t="shared" si="28"/>
        <v>29420</v>
      </c>
    </row>
    <row r="106" spans="1:12" x14ac:dyDescent="0.3">
      <c r="A106" s="254"/>
      <c r="B106" s="261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7"/>
        <v>240000</v>
      </c>
      <c r="K106" s="108">
        <v>147455</v>
      </c>
      <c r="L106" s="3">
        <f t="shared" si="28"/>
        <v>92545</v>
      </c>
    </row>
    <row r="107" spans="1:12" x14ac:dyDescent="0.3">
      <c r="A107" s="254"/>
      <c r="B107" s="261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7"/>
        <v>195440</v>
      </c>
      <c r="K107" s="108">
        <v>28706</v>
      </c>
      <c r="L107" s="3">
        <f t="shared" si="28"/>
        <v>166734</v>
      </c>
    </row>
    <row r="108" spans="1:12" x14ac:dyDescent="0.3">
      <c r="A108" s="254"/>
      <c r="B108" s="261"/>
      <c r="C108" s="6" t="s">
        <v>49</v>
      </c>
      <c r="D108" s="7">
        <f>SUM(D98:D107)</f>
        <v>1697400</v>
      </c>
      <c r="E108" s="7">
        <v>1697400</v>
      </c>
      <c r="F108" s="7">
        <f t="shared" ref="F108:L108" si="29">SUM(F98:F107)</f>
        <v>0</v>
      </c>
      <c r="G108" s="7">
        <f t="shared" si="29"/>
        <v>0</v>
      </c>
      <c r="H108" s="7">
        <f t="shared" si="29"/>
        <v>0</v>
      </c>
      <c r="I108" s="7">
        <f t="shared" si="29"/>
        <v>0</v>
      </c>
      <c r="J108" s="7">
        <f t="shared" si="29"/>
        <v>1697400</v>
      </c>
      <c r="K108" s="110">
        <f t="shared" si="29"/>
        <v>624331</v>
      </c>
      <c r="L108" s="7">
        <f t="shared" si="29"/>
        <v>1073069</v>
      </c>
    </row>
    <row r="109" spans="1:12" x14ac:dyDescent="0.3">
      <c r="A109" s="262" t="s">
        <v>62</v>
      </c>
      <c r="B109" s="264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0">E109+F109+G109+H109+I109</f>
        <v>111600</v>
      </c>
      <c r="K109" s="108">
        <v>57000</v>
      </c>
      <c r="L109" s="3">
        <f t="shared" ref="L109:L112" si="31">J109-K109</f>
        <v>54600</v>
      </c>
    </row>
    <row r="110" spans="1:12" x14ac:dyDescent="0.3">
      <c r="A110" s="263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0"/>
        <v>20739</v>
      </c>
      <c r="K110" s="108">
        <v>10794</v>
      </c>
      <c r="L110" s="3">
        <f t="shared" si="31"/>
        <v>9945</v>
      </c>
    </row>
    <row r="111" spans="1:12" x14ac:dyDescent="0.3">
      <c r="A111" s="262" t="s">
        <v>63</v>
      </c>
      <c r="B111" s="264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0"/>
        <v>1460272</v>
      </c>
      <c r="K111" s="108">
        <v>1252536</v>
      </c>
      <c r="L111" s="3">
        <f t="shared" si="31"/>
        <v>207736</v>
      </c>
    </row>
    <row r="112" spans="1:12" x14ac:dyDescent="0.3">
      <c r="A112" s="263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0"/>
        <v>272168</v>
      </c>
      <c r="K112" s="108">
        <v>236693</v>
      </c>
      <c r="L112" s="3">
        <f t="shared" si="31"/>
        <v>35475</v>
      </c>
    </row>
    <row r="113" spans="1:12" x14ac:dyDescent="0.3">
      <c r="A113" s="319" t="s">
        <v>77</v>
      </c>
      <c r="B113" s="320"/>
      <c r="C113" s="321"/>
      <c r="D113" s="80">
        <f>SUM(D96+D97+D108+D109+D110+D111+D112)</f>
        <v>9916318</v>
      </c>
      <c r="E113" s="80">
        <f t="shared" ref="E113:L113" si="32">SUM(E96+E97+E108+E109+E110+E111+E112)</f>
        <v>10238486</v>
      </c>
      <c r="F113" s="80">
        <f t="shared" si="32"/>
        <v>0</v>
      </c>
      <c r="G113" s="80">
        <f t="shared" si="32"/>
        <v>0</v>
      </c>
      <c r="H113" s="80">
        <f t="shared" si="32"/>
        <v>0</v>
      </c>
      <c r="I113" s="80">
        <f t="shared" si="32"/>
        <v>21826</v>
      </c>
      <c r="J113" s="80">
        <f t="shared" si="32"/>
        <v>10260312</v>
      </c>
      <c r="K113" s="112">
        <f t="shared" si="32"/>
        <v>7206521</v>
      </c>
      <c r="L113" s="80">
        <f t="shared" si="32"/>
        <v>3053791</v>
      </c>
    </row>
    <row r="114" spans="1:12" x14ac:dyDescent="0.3">
      <c r="A114" s="254" t="s">
        <v>13</v>
      </c>
      <c r="B114" s="261" t="s">
        <v>23</v>
      </c>
      <c r="C114" s="2" t="s">
        <v>24</v>
      </c>
      <c r="D114" s="3">
        <v>4871210</v>
      </c>
      <c r="E114" s="3">
        <v>5000280</v>
      </c>
      <c r="F114" s="3"/>
      <c r="G114" s="3"/>
      <c r="H114" s="3"/>
      <c r="I114" s="3">
        <v>14016</v>
      </c>
      <c r="J114" s="20">
        <f t="shared" ref="J114:J119" si="33">E114+F114+G114+H114+I114</f>
        <v>5014296</v>
      </c>
      <c r="K114" s="108">
        <v>3926900</v>
      </c>
      <c r="L114" s="3">
        <f t="shared" ref="L114:L119" si="34">J114-K114</f>
        <v>1087396</v>
      </c>
    </row>
    <row r="115" spans="1:12" x14ac:dyDescent="0.3">
      <c r="A115" s="254"/>
      <c r="B115" s="261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3"/>
        <v>200000</v>
      </c>
      <c r="K115" s="108">
        <v>200000</v>
      </c>
      <c r="L115" s="3">
        <f t="shared" si="34"/>
        <v>0</v>
      </c>
    </row>
    <row r="116" spans="1:12" x14ac:dyDescent="0.3">
      <c r="A116" s="254"/>
      <c r="B116" s="261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3"/>
        <v>10000</v>
      </c>
      <c r="K116" s="108">
        <v>0</v>
      </c>
      <c r="L116" s="3">
        <f t="shared" si="34"/>
        <v>10000</v>
      </c>
    </row>
    <row r="117" spans="1:12" x14ac:dyDescent="0.3">
      <c r="A117" s="254"/>
      <c r="B117" s="261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3"/>
        <v>24000</v>
      </c>
      <c r="K117" s="108">
        <v>12000</v>
      </c>
      <c r="L117" s="3">
        <f t="shared" si="34"/>
        <v>12000</v>
      </c>
    </row>
    <row r="118" spans="1:12" x14ac:dyDescent="0.3">
      <c r="A118" s="254"/>
      <c r="B118" s="261"/>
      <c r="C118" s="2" t="s">
        <v>29</v>
      </c>
      <c r="D118" s="3">
        <v>75000</v>
      </c>
      <c r="E118" s="3">
        <v>133601</v>
      </c>
      <c r="F118" s="3"/>
      <c r="G118" s="3"/>
      <c r="H118" s="3"/>
      <c r="I118" s="3"/>
      <c r="J118" s="20">
        <f t="shared" si="33"/>
        <v>133601</v>
      </c>
      <c r="K118" s="108">
        <v>32601</v>
      </c>
      <c r="L118" s="3">
        <f t="shared" si="34"/>
        <v>101000</v>
      </c>
    </row>
    <row r="119" spans="1:12" x14ac:dyDescent="0.3">
      <c r="A119" s="254"/>
      <c r="B119" s="261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3"/>
        <v>0</v>
      </c>
      <c r="K119" s="108">
        <v>0</v>
      </c>
      <c r="L119" s="3">
        <f t="shared" si="34"/>
        <v>0</v>
      </c>
    </row>
    <row r="120" spans="1:12" x14ac:dyDescent="0.3">
      <c r="A120" s="254"/>
      <c r="B120" s="261"/>
      <c r="C120" s="6" t="s">
        <v>53</v>
      </c>
      <c r="D120" s="7">
        <f>SUM(D114:D119)</f>
        <v>5180210</v>
      </c>
      <c r="E120" s="7">
        <v>5367881</v>
      </c>
      <c r="F120" s="7">
        <f t="shared" ref="F120:L120" si="35">SUM(F114:F119)</f>
        <v>0</v>
      </c>
      <c r="G120" s="7">
        <f t="shared" si="35"/>
        <v>0</v>
      </c>
      <c r="H120" s="7">
        <f t="shared" si="35"/>
        <v>0</v>
      </c>
      <c r="I120" s="7">
        <f t="shared" si="35"/>
        <v>14016</v>
      </c>
      <c r="J120" s="7">
        <f t="shared" si="35"/>
        <v>5381897</v>
      </c>
      <c r="K120" s="110">
        <f t="shared" si="35"/>
        <v>4171501</v>
      </c>
      <c r="L120" s="7">
        <f t="shared" si="35"/>
        <v>1210396</v>
      </c>
    </row>
    <row r="121" spans="1:12" x14ac:dyDescent="0.3">
      <c r="A121" s="254"/>
      <c r="B121" s="261"/>
      <c r="C121" s="82" t="s">
        <v>31</v>
      </c>
      <c r="D121" s="83">
        <v>1046402</v>
      </c>
      <c r="E121" s="83">
        <v>1082997</v>
      </c>
      <c r="F121" s="83"/>
      <c r="G121" s="83"/>
      <c r="H121" s="83"/>
      <c r="I121" s="83">
        <v>2452</v>
      </c>
      <c r="J121" s="84">
        <f t="shared" ref="J121:J129" si="36">E121+F121+G121+H121+I121</f>
        <v>1085449</v>
      </c>
      <c r="K121" s="111">
        <v>873037</v>
      </c>
      <c r="L121" s="85">
        <f t="shared" ref="L121:L129" si="37">J121-K121</f>
        <v>212412</v>
      </c>
    </row>
    <row r="122" spans="1:12" x14ac:dyDescent="0.3">
      <c r="A122" s="254"/>
      <c r="B122" s="261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6"/>
        <v>50000</v>
      </c>
      <c r="K122" s="108">
        <v>0</v>
      </c>
      <c r="L122" s="3">
        <f t="shared" si="37"/>
        <v>50000</v>
      </c>
    </row>
    <row r="123" spans="1:12" x14ac:dyDescent="0.3">
      <c r="A123" s="254"/>
      <c r="B123" s="261"/>
      <c r="C123" s="2" t="s">
        <v>33</v>
      </c>
      <c r="D123" s="3">
        <v>100000</v>
      </c>
      <c r="E123" s="3">
        <v>70000</v>
      </c>
      <c r="F123" s="3"/>
      <c r="G123" s="3"/>
      <c r="H123" s="3"/>
      <c r="I123" s="3"/>
      <c r="J123" s="20">
        <f t="shared" si="36"/>
        <v>70000</v>
      </c>
      <c r="K123" s="108">
        <v>0</v>
      </c>
      <c r="L123" s="3">
        <f t="shared" si="37"/>
        <v>70000</v>
      </c>
    </row>
    <row r="124" spans="1:12" x14ac:dyDescent="0.3">
      <c r="A124" s="254"/>
      <c r="B124" s="261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6"/>
        <v>116000</v>
      </c>
      <c r="K124" s="108">
        <v>0</v>
      </c>
      <c r="L124" s="3">
        <f t="shared" si="37"/>
        <v>116000</v>
      </c>
    </row>
    <row r="125" spans="1:12" x14ac:dyDescent="0.3">
      <c r="A125" s="254"/>
      <c r="B125" s="261"/>
      <c r="C125" s="2" t="s">
        <v>38</v>
      </c>
      <c r="D125" s="3">
        <v>50000</v>
      </c>
      <c r="E125" s="3">
        <v>46600</v>
      </c>
      <c r="F125" s="3"/>
      <c r="G125" s="3"/>
      <c r="H125" s="3"/>
      <c r="I125" s="3"/>
      <c r="J125" s="20">
        <f t="shared" si="36"/>
        <v>46600</v>
      </c>
      <c r="K125" s="108">
        <v>0</v>
      </c>
      <c r="L125" s="3">
        <f t="shared" si="37"/>
        <v>46600</v>
      </c>
    </row>
    <row r="126" spans="1:12" x14ac:dyDescent="0.3">
      <c r="A126" s="254"/>
      <c r="B126" s="261"/>
      <c r="C126" s="2" t="s">
        <v>40</v>
      </c>
      <c r="D126" s="3">
        <v>16800</v>
      </c>
      <c r="E126" s="3">
        <v>20200</v>
      </c>
      <c r="F126" s="3"/>
      <c r="G126" s="3"/>
      <c r="H126" s="3"/>
      <c r="I126" s="3"/>
      <c r="J126" s="20">
        <f t="shared" si="36"/>
        <v>20200</v>
      </c>
      <c r="K126" s="108">
        <v>6800</v>
      </c>
      <c r="L126" s="3">
        <f t="shared" si="37"/>
        <v>13400</v>
      </c>
    </row>
    <row r="127" spans="1:12" x14ac:dyDescent="0.3">
      <c r="A127" s="254"/>
      <c r="B127" s="261"/>
      <c r="C127" s="2" t="s">
        <v>41</v>
      </c>
      <c r="D127" s="3">
        <v>0</v>
      </c>
      <c r="E127" s="3">
        <v>70280</v>
      </c>
      <c r="F127" s="3"/>
      <c r="G127" s="3"/>
      <c r="H127" s="3"/>
      <c r="I127" s="3"/>
      <c r="J127" s="20">
        <f t="shared" si="36"/>
        <v>70280</v>
      </c>
      <c r="K127" s="108">
        <v>40860</v>
      </c>
      <c r="L127" s="3">
        <f t="shared" si="37"/>
        <v>29420</v>
      </c>
    </row>
    <row r="128" spans="1:12" x14ac:dyDescent="0.3">
      <c r="A128" s="254"/>
      <c r="B128" s="261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6"/>
        <v>233720</v>
      </c>
      <c r="K128" s="108">
        <v>119445</v>
      </c>
      <c r="L128" s="3">
        <f t="shared" si="37"/>
        <v>114275</v>
      </c>
    </row>
    <row r="129" spans="1:12" x14ac:dyDescent="0.3">
      <c r="A129" s="254"/>
      <c r="B129" s="261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6"/>
        <v>94500</v>
      </c>
      <c r="K129" s="108">
        <v>11031</v>
      </c>
      <c r="L129" s="3">
        <f t="shared" si="37"/>
        <v>83469</v>
      </c>
    </row>
    <row r="130" spans="1:12" x14ac:dyDescent="0.3">
      <c r="A130" s="254"/>
      <c r="B130" s="261"/>
      <c r="C130" s="6" t="s">
        <v>49</v>
      </c>
      <c r="D130" s="7">
        <f>SUM(D122:D129)</f>
        <v>701300</v>
      </c>
      <c r="E130" s="7">
        <v>701300</v>
      </c>
      <c r="F130" s="7">
        <f t="shared" ref="F130:L130" si="38">SUM(F122:F129)</f>
        <v>0</v>
      </c>
      <c r="G130" s="7">
        <f t="shared" si="38"/>
        <v>0</v>
      </c>
      <c r="H130" s="7">
        <f t="shared" si="38"/>
        <v>0</v>
      </c>
      <c r="I130" s="7">
        <f t="shared" si="38"/>
        <v>0</v>
      </c>
      <c r="J130" s="7">
        <f t="shared" si="38"/>
        <v>701300</v>
      </c>
      <c r="K130" s="110">
        <f t="shared" si="38"/>
        <v>178136</v>
      </c>
      <c r="L130" s="7">
        <f t="shared" si="38"/>
        <v>523164</v>
      </c>
    </row>
    <row r="131" spans="1:12" x14ac:dyDescent="0.3">
      <c r="A131" s="262" t="s">
        <v>64</v>
      </c>
      <c r="B131" s="264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39">E131+F131+G131+H131+I131</f>
        <v>39600</v>
      </c>
      <c r="K131" s="108">
        <v>33000</v>
      </c>
      <c r="L131" s="3">
        <f t="shared" ref="L131:L134" si="40">J131-K131</f>
        <v>6600</v>
      </c>
    </row>
    <row r="132" spans="1:12" x14ac:dyDescent="0.3">
      <c r="A132" s="263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39"/>
        <v>7359</v>
      </c>
      <c r="K132" s="108">
        <v>6238</v>
      </c>
      <c r="L132" s="3">
        <f t="shared" si="40"/>
        <v>1121</v>
      </c>
    </row>
    <row r="133" spans="1:12" x14ac:dyDescent="0.3">
      <c r="A133" s="262" t="s">
        <v>65</v>
      </c>
      <c r="B133" s="264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39"/>
        <v>1357158</v>
      </c>
      <c r="K133" s="108">
        <v>1131860</v>
      </c>
      <c r="L133" s="3">
        <f t="shared" si="40"/>
        <v>225298</v>
      </c>
    </row>
    <row r="134" spans="1:12" x14ac:dyDescent="0.3">
      <c r="A134" s="263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39"/>
        <v>253327</v>
      </c>
      <c r="K134" s="108">
        <v>213917</v>
      </c>
      <c r="L134" s="3">
        <f t="shared" si="40"/>
        <v>39410</v>
      </c>
    </row>
    <row r="135" spans="1:12" x14ac:dyDescent="0.3">
      <c r="A135" s="319" t="s">
        <v>78</v>
      </c>
      <c r="B135" s="320"/>
      <c r="C135" s="321"/>
      <c r="D135" s="80">
        <f>SUM(D120+D121+D130+D131+D132+D133+D134)</f>
        <v>8585356</v>
      </c>
      <c r="E135" s="80">
        <f t="shared" ref="E135:L135" si="41">SUM(E120+E121+E130+E131+E132+E133+E134)</f>
        <v>8809622</v>
      </c>
      <c r="F135" s="80">
        <f t="shared" si="41"/>
        <v>0</v>
      </c>
      <c r="G135" s="80">
        <f t="shared" si="41"/>
        <v>0</v>
      </c>
      <c r="H135" s="80">
        <f t="shared" si="41"/>
        <v>0</v>
      </c>
      <c r="I135" s="80">
        <f t="shared" si="41"/>
        <v>16468</v>
      </c>
      <c r="J135" s="80">
        <f t="shared" si="41"/>
        <v>8826090</v>
      </c>
      <c r="K135" s="112">
        <f t="shared" si="41"/>
        <v>6607689</v>
      </c>
      <c r="L135" s="80">
        <f t="shared" si="41"/>
        <v>2218401</v>
      </c>
    </row>
    <row r="136" spans="1:12" x14ac:dyDescent="0.3">
      <c r="A136" s="254" t="s">
        <v>14</v>
      </c>
      <c r="B136" s="261" t="s">
        <v>23</v>
      </c>
      <c r="C136" s="2" t="s">
        <v>24</v>
      </c>
      <c r="D136" s="3">
        <v>4756797</v>
      </c>
      <c r="E136" s="3">
        <v>4957079</v>
      </c>
      <c r="F136" s="3"/>
      <c r="G136" s="3"/>
      <c r="H136" s="3"/>
      <c r="I136" s="3">
        <v>9580</v>
      </c>
      <c r="J136" s="20">
        <f t="shared" ref="J136:J142" si="42">E136+F136+G136+H136+I136</f>
        <v>4966659</v>
      </c>
      <c r="K136" s="108">
        <v>3751578</v>
      </c>
      <c r="L136" s="3">
        <f t="shared" ref="L136:L142" si="43">J136-K136</f>
        <v>1215081</v>
      </c>
    </row>
    <row r="137" spans="1:12" x14ac:dyDescent="0.3">
      <c r="A137" s="254"/>
      <c r="B137" s="261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2"/>
        <v>200000</v>
      </c>
      <c r="K137" s="108">
        <v>200000</v>
      </c>
      <c r="L137" s="3">
        <f t="shared" si="43"/>
        <v>0</v>
      </c>
    </row>
    <row r="138" spans="1:12" x14ac:dyDescent="0.3">
      <c r="A138" s="254"/>
      <c r="B138" s="261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2"/>
        <v>10000</v>
      </c>
      <c r="K138" s="108">
        <v>0</v>
      </c>
      <c r="L138" s="3">
        <f t="shared" si="43"/>
        <v>10000</v>
      </c>
    </row>
    <row r="139" spans="1:12" x14ac:dyDescent="0.3">
      <c r="A139" s="254"/>
      <c r="B139" s="261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2"/>
        <v>255000</v>
      </c>
      <c r="K139" s="108">
        <v>170406</v>
      </c>
      <c r="L139" s="3">
        <f t="shared" si="43"/>
        <v>84594</v>
      </c>
    </row>
    <row r="140" spans="1:12" x14ac:dyDescent="0.3">
      <c r="A140" s="254"/>
      <c r="B140" s="261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2"/>
        <v>24000</v>
      </c>
      <c r="K140" s="108">
        <v>12000</v>
      </c>
      <c r="L140" s="3">
        <f t="shared" si="43"/>
        <v>12000</v>
      </c>
    </row>
    <row r="141" spans="1:12" x14ac:dyDescent="0.3">
      <c r="A141" s="254"/>
      <c r="B141" s="261"/>
      <c r="C141" s="2" t="s">
        <v>29</v>
      </c>
      <c r="D141" s="3">
        <v>0</v>
      </c>
      <c r="E141" s="3">
        <v>128307</v>
      </c>
      <c r="F141" s="3"/>
      <c r="G141" s="3"/>
      <c r="H141" s="3"/>
      <c r="I141" s="3"/>
      <c r="J141" s="20">
        <f t="shared" si="42"/>
        <v>128307</v>
      </c>
      <c r="K141" s="108">
        <v>102307</v>
      </c>
      <c r="L141" s="3">
        <f t="shared" si="43"/>
        <v>26000</v>
      </c>
    </row>
    <row r="142" spans="1:12" x14ac:dyDescent="0.3">
      <c r="A142" s="254"/>
      <c r="B142" s="261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2"/>
        <v>0</v>
      </c>
      <c r="K142" s="108">
        <v>0</v>
      </c>
      <c r="L142" s="3">
        <f t="shared" si="43"/>
        <v>0</v>
      </c>
    </row>
    <row r="143" spans="1:12" x14ac:dyDescent="0.3">
      <c r="A143" s="254"/>
      <c r="B143" s="261"/>
      <c r="C143" s="6" t="s">
        <v>53</v>
      </c>
      <c r="D143" s="7">
        <f>SUM(D136:D142)</f>
        <v>5245797</v>
      </c>
      <c r="E143" s="7">
        <v>5574386</v>
      </c>
      <c r="F143" s="7">
        <f t="shared" ref="F143:L143" si="44">SUM(F136:F142)</f>
        <v>0</v>
      </c>
      <c r="G143" s="7">
        <f t="shared" si="44"/>
        <v>0</v>
      </c>
      <c r="H143" s="7">
        <f t="shared" si="44"/>
        <v>0</v>
      </c>
      <c r="I143" s="7">
        <f t="shared" si="44"/>
        <v>9580</v>
      </c>
      <c r="J143" s="7">
        <f t="shared" si="44"/>
        <v>5583966</v>
      </c>
      <c r="K143" s="110">
        <f t="shared" si="44"/>
        <v>4236291</v>
      </c>
      <c r="L143" s="7">
        <f t="shared" si="44"/>
        <v>1347675</v>
      </c>
    </row>
    <row r="144" spans="1:12" x14ac:dyDescent="0.3">
      <c r="A144" s="254"/>
      <c r="B144" s="261"/>
      <c r="C144" s="82" t="s">
        <v>31</v>
      </c>
      <c r="D144" s="83">
        <v>1025121</v>
      </c>
      <c r="E144" s="83">
        <v>1089196</v>
      </c>
      <c r="F144" s="83"/>
      <c r="G144" s="83"/>
      <c r="H144" s="83"/>
      <c r="I144" s="83">
        <v>1677</v>
      </c>
      <c r="J144" s="84">
        <f t="shared" ref="J144:J152" si="45">E144+F144+G144+H144+I144</f>
        <v>1090873</v>
      </c>
      <c r="K144" s="111">
        <v>852858</v>
      </c>
      <c r="L144" s="85">
        <f t="shared" ref="L144:L152" si="46">J144-K144</f>
        <v>238015</v>
      </c>
    </row>
    <row r="145" spans="1:12" x14ac:dyDescent="0.3">
      <c r="A145" s="254"/>
      <c r="B145" s="261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5"/>
        <v>80000</v>
      </c>
      <c r="K145" s="108">
        <v>0</v>
      </c>
      <c r="L145" s="3">
        <f t="shared" si="46"/>
        <v>80000</v>
      </c>
    </row>
    <row r="146" spans="1:12" x14ac:dyDescent="0.3">
      <c r="A146" s="254"/>
      <c r="B146" s="261"/>
      <c r="C146" s="2" t="s">
        <v>33</v>
      </c>
      <c r="D146" s="3">
        <v>110000</v>
      </c>
      <c r="E146" s="3">
        <v>50000</v>
      </c>
      <c r="F146" s="3"/>
      <c r="G146" s="3"/>
      <c r="H146" s="3"/>
      <c r="I146" s="3"/>
      <c r="J146" s="20">
        <f t="shared" si="45"/>
        <v>50000</v>
      </c>
      <c r="K146" s="108">
        <v>0</v>
      </c>
      <c r="L146" s="3">
        <f t="shared" si="46"/>
        <v>50000</v>
      </c>
    </row>
    <row r="147" spans="1:12" x14ac:dyDescent="0.3">
      <c r="A147" s="254"/>
      <c r="B147" s="261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5"/>
        <v>136000</v>
      </c>
      <c r="K147" s="108">
        <v>0</v>
      </c>
      <c r="L147" s="3">
        <f t="shared" si="46"/>
        <v>136000</v>
      </c>
    </row>
    <row r="148" spans="1:12" x14ac:dyDescent="0.3">
      <c r="A148" s="254"/>
      <c r="B148" s="261"/>
      <c r="C148" s="2" t="s">
        <v>38</v>
      </c>
      <c r="D148" s="3">
        <v>144000</v>
      </c>
      <c r="E148" s="3">
        <v>140600</v>
      </c>
      <c r="F148" s="3"/>
      <c r="G148" s="3"/>
      <c r="H148" s="3"/>
      <c r="I148" s="3"/>
      <c r="J148" s="20">
        <f t="shared" si="45"/>
        <v>140600</v>
      </c>
      <c r="K148" s="108">
        <v>0</v>
      </c>
      <c r="L148" s="3">
        <f t="shared" si="46"/>
        <v>140600</v>
      </c>
    </row>
    <row r="149" spans="1:12" x14ac:dyDescent="0.3">
      <c r="A149" s="254"/>
      <c r="B149" s="261"/>
      <c r="C149" s="2" t="s">
        <v>40</v>
      </c>
      <c r="D149" s="3">
        <v>16800</v>
      </c>
      <c r="E149" s="3">
        <v>20200</v>
      </c>
      <c r="F149" s="3"/>
      <c r="G149" s="3"/>
      <c r="H149" s="3"/>
      <c r="I149" s="3"/>
      <c r="J149" s="20">
        <f t="shared" si="45"/>
        <v>20200</v>
      </c>
      <c r="K149" s="108">
        <v>6800</v>
      </c>
      <c r="L149" s="3">
        <f t="shared" si="46"/>
        <v>13400</v>
      </c>
    </row>
    <row r="150" spans="1:12" x14ac:dyDescent="0.3">
      <c r="A150" s="254"/>
      <c r="B150" s="261"/>
      <c r="C150" s="2" t="s">
        <v>41</v>
      </c>
      <c r="D150" s="3">
        <v>40000</v>
      </c>
      <c r="E150" s="3">
        <v>120280</v>
      </c>
      <c r="F150" s="3"/>
      <c r="G150" s="3"/>
      <c r="H150" s="3"/>
      <c r="I150" s="3"/>
      <c r="J150" s="20">
        <f t="shared" si="45"/>
        <v>120280</v>
      </c>
      <c r="K150" s="108">
        <v>80860</v>
      </c>
      <c r="L150" s="3">
        <f t="shared" si="46"/>
        <v>39420</v>
      </c>
    </row>
    <row r="151" spans="1:12" x14ac:dyDescent="0.3">
      <c r="A151" s="254"/>
      <c r="B151" s="261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5"/>
        <v>143720</v>
      </c>
      <c r="K151" s="108">
        <v>90600</v>
      </c>
      <c r="L151" s="3">
        <f t="shared" si="46"/>
        <v>53120</v>
      </c>
    </row>
    <row r="152" spans="1:12" x14ac:dyDescent="0.3">
      <c r="A152" s="254"/>
      <c r="B152" s="261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5"/>
        <v>141480</v>
      </c>
      <c r="K152" s="108">
        <v>11033</v>
      </c>
      <c r="L152" s="3">
        <f t="shared" si="46"/>
        <v>130447</v>
      </c>
    </row>
    <row r="153" spans="1:12" x14ac:dyDescent="0.3">
      <c r="A153" s="254"/>
      <c r="B153" s="261"/>
      <c r="C153" s="6" t="s">
        <v>49</v>
      </c>
      <c r="D153" s="7">
        <f>SUM(D145:D152)</f>
        <v>832280</v>
      </c>
      <c r="E153" s="7">
        <v>832280</v>
      </c>
      <c r="F153" s="7">
        <f t="shared" ref="F153:L153" si="47">SUM(F145:F152)</f>
        <v>0</v>
      </c>
      <c r="G153" s="7">
        <f t="shared" si="47"/>
        <v>0</v>
      </c>
      <c r="H153" s="7">
        <f t="shared" si="47"/>
        <v>0</v>
      </c>
      <c r="I153" s="7">
        <f t="shared" si="47"/>
        <v>0</v>
      </c>
      <c r="J153" s="7">
        <f t="shared" si="47"/>
        <v>832280</v>
      </c>
      <c r="K153" s="110">
        <f t="shared" si="47"/>
        <v>189293</v>
      </c>
      <c r="L153" s="7">
        <f t="shared" si="47"/>
        <v>642987</v>
      </c>
    </row>
    <row r="154" spans="1:12" x14ac:dyDescent="0.3">
      <c r="A154" s="262" t="s">
        <v>66</v>
      </c>
      <c r="B154" s="264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8">E154+F154+G154+H154+I154</f>
        <v>832628</v>
      </c>
      <c r="K154" s="108">
        <v>683020</v>
      </c>
      <c r="L154" s="3">
        <f t="shared" ref="L154:L155" si="49">J154-K154</f>
        <v>149608</v>
      </c>
    </row>
    <row r="155" spans="1:12" x14ac:dyDescent="0.3">
      <c r="A155" s="263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8"/>
        <v>155410</v>
      </c>
      <c r="K155" s="108">
        <v>129018</v>
      </c>
      <c r="L155" s="3">
        <f t="shared" si="49"/>
        <v>26392</v>
      </c>
    </row>
    <row r="156" spans="1:12" x14ac:dyDescent="0.3">
      <c r="A156" s="319" t="s">
        <v>79</v>
      </c>
      <c r="B156" s="320"/>
      <c r="C156" s="321"/>
      <c r="D156" s="80">
        <f>SUM(D143+D144+D153+D154+D155)</f>
        <v>8091236</v>
      </c>
      <c r="E156" s="80">
        <f t="shared" ref="E156:L156" si="50">SUM(E143+E144+E153+E154+E155)</f>
        <v>8483900</v>
      </c>
      <c r="F156" s="80">
        <f t="shared" si="50"/>
        <v>0</v>
      </c>
      <c r="G156" s="80">
        <f t="shared" si="50"/>
        <v>0</v>
      </c>
      <c r="H156" s="80">
        <f t="shared" si="50"/>
        <v>0</v>
      </c>
      <c r="I156" s="80">
        <f t="shared" si="50"/>
        <v>11257</v>
      </c>
      <c r="J156" s="80">
        <f t="shared" si="50"/>
        <v>8495157</v>
      </c>
      <c r="K156" s="112">
        <f t="shared" si="50"/>
        <v>6090480</v>
      </c>
      <c r="L156" s="80">
        <f t="shared" si="50"/>
        <v>2404677</v>
      </c>
    </row>
    <row r="157" spans="1:12" x14ac:dyDescent="0.3">
      <c r="A157" s="254" t="s">
        <v>55</v>
      </c>
      <c r="B157" s="261" t="s">
        <v>23</v>
      </c>
      <c r="C157" s="10" t="s">
        <v>24</v>
      </c>
      <c r="D157" s="24">
        <v>5055869</v>
      </c>
      <c r="E157" s="24">
        <v>5275466</v>
      </c>
      <c r="F157" s="11"/>
      <c r="G157" s="11"/>
      <c r="H157" s="11"/>
      <c r="I157" s="11"/>
      <c r="J157" s="20">
        <f t="shared" ref="J157:J162" si="51">E157+F157+G157+H157+I157</f>
        <v>5275466</v>
      </c>
      <c r="K157" s="108">
        <v>4070996</v>
      </c>
      <c r="L157" s="3">
        <f t="shared" ref="L157:L162" si="52">J157-K157</f>
        <v>1204470</v>
      </c>
    </row>
    <row r="158" spans="1:12" x14ac:dyDescent="0.3">
      <c r="A158" s="254"/>
      <c r="B158" s="261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1"/>
        <v>425000</v>
      </c>
      <c r="K158" s="108">
        <v>402500</v>
      </c>
      <c r="L158" s="3">
        <f t="shared" si="52"/>
        <v>22500</v>
      </c>
    </row>
    <row r="159" spans="1:12" x14ac:dyDescent="0.3">
      <c r="A159" s="254"/>
      <c r="B159" s="261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1"/>
        <v>10000</v>
      </c>
      <c r="K159" s="108">
        <v>0</v>
      </c>
      <c r="L159" s="3">
        <f t="shared" si="52"/>
        <v>10000</v>
      </c>
    </row>
    <row r="160" spans="1:12" x14ac:dyDescent="0.3">
      <c r="A160" s="254"/>
      <c r="B160" s="261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1"/>
        <v>24000</v>
      </c>
      <c r="K160" s="108">
        <v>12000</v>
      </c>
      <c r="L160" s="3">
        <f t="shared" si="52"/>
        <v>12000</v>
      </c>
    </row>
    <row r="161" spans="1:12" x14ac:dyDescent="0.3">
      <c r="A161" s="254"/>
      <c r="B161" s="261"/>
      <c r="C161" s="10" t="s">
        <v>29</v>
      </c>
      <c r="D161" s="24">
        <v>75000</v>
      </c>
      <c r="E161" s="24">
        <v>125000</v>
      </c>
      <c r="F161" s="11"/>
      <c r="G161" s="11"/>
      <c r="H161" s="11"/>
      <c r="I161" s="11"/>
      <c r="J161" s="20">
        <f t="shared" si="51"/>
        <v>125000</v>
      </c>
      <c r="K161" s="108">
        <v>2000</v>
      </c>
      <c r="L161" s="3">
        <f t="shared" si="52"/>
        <v>123000</v>
      </c>
    </row>
    <row r="162" spans="1:12" x14ac:dyDescent="0.3">
      <c r="A162" s="254"/>
      <c r="B162" s="261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1"/>
        <v>0</v>
      </c>
      <c r="K162" s="108">
        <v>0</v>
      </c>
      <c r="L162" s="3">
        <f t="shared" si="52"/>
        <v>0</v>
      </c>
    </row>
    <row r="163" spans="1:12" x14ac:dyDescent="0.3">
      <c r="A163" s="254"/>
      <c r="B163" s="261"/>
      <c r="C163" s="6" t="s">
        <v>53</v>
      </c>
      <c r="D163" s="7">
        <f>SUM(D157:D162)</f>
        <v>5589869</v>
      </c>
      <c r="E163" s="7">
        <v>5859466</v>
      </c>
      <c r="F163" s="7">
        <f t="shared" ref="F163:L163" si="53">SUM(F157:F162)</f>
        <v>0</v>
      </c>
      <c r="G163" s="7">
        <f t="shared" si="53"/>
        <v>0</v>
      </c>
      <c r="H163" s="7">
        <f t="shared" si="53"/>
        <v>0</v>
      </c>
      <c r="I163" s="7">
        <f t="shared" si="53"/>
        <v>0</v>
      </c>
      <c r="J163" s="7">
        <f t="shared" si="53"/>
        <v>5859466</v>
      </c>
      <c r="K163" s="110">
        <f t="shared" si="53"/>
        <v>4487496</v>
      </c>
      <c r="L163" s="7">
        <f t="shared" si="53"/>
        <v>1371970</v>
      </c>
    </row>
    <row r="164" spans="1:12" x14ac:dyDescent="0.3">
      <c r="A164" s="254"/>
      <c r="B164" s="261"/>
      <c r="C164" s="82" t="s">
        <v>31</v>
      </c>
      <c r="D164" s="83">
        <v>1124913</v>
      </c>
      <c r="E164" s="83">
        <v>1177484</v>
      </c>
      <c r="F164" s="83"/>
      <c r="G164" s="83"/>
      <c r="H164" s="83"/>
      <c r="I164" s="83"/>
      <c r="J164" s="84">
        <f t="shared" ref="J164:J173" si="54">E164+F164+G164+H164+I164</f>
        <v>1177484</v>
      </c>
      <c r="K164" s="111">
        <v>932459</v>
      </c>
      <c r="L164" s="85">
        <f t="shared" ref="L164:L173" si="55">J164-K164</f>
        <v>245025</v>
      </c>
    </row>
    <row r="165" spans="1:12" x14ac:dyDescent="0.3">
      <c r="A165" s="254"/>
      <c r="B165" s="261"/>
      <c r="C165" s="10" t="s">
        <v>32</v>
      </c>
      <c r="D165" s="24">
        <v>100000</v>
      </c>
      <c r="E165" s="24">
        <v>50000</v>
      </c>
      <c r="F165" s="11"/>
      <c r="G165" s="11"/>
      <c r="H165" s="11"/>
      <c r="I165" s="11"/>
      <c r="J165" s="20">
        <f t="shared" si="54"/>
        <v>50000</v>
      </c>
      <c r="K165" s="108">
        <v>0</v>
      </c>
      <c r="L165" s="3">
        <f t="shared" si="55"/>
        <v>50000</v>
      </c>
    </row>
    <row r="166" spans="1:12" x14ac:dyDescent="0.3">
      <c r="A166" s="254"/>
      <c r="B166" s="261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4"/>
        <v>100000</v>
      </c>
      <c r="K166" s="108">
        <v>4536</v>
      </c>
      <c r="L166" s="3">
        <f t="shared" si="55"/>
        <v>95464</v>
      </c>
    </row>
    <row r="167" spans="1:12" x14ac:dyDescent="0.3">
      <c r="A167" s="254"/>
      <c r="B167" s="261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4"/>
        <v>100000</v>
      </c>
      <c r="K167" s="108">
        <v>0</v>
      </c>
      <c r="L167" s="3">
        <f t="shared" si="55"/>
        <v>100000</v>
      </c>
    </row>
    <row r="168" spans="1:12" x14ac:dyDescent="0.3">
      <c r="A168" s="254"/>
      <c r="B168" s="261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4"/>
        <v>50000</v>
      </c>
      <c r="K168" s="108">
        <v>0</v>
      </c>
      <c r="L168" s="3">
        <f t="shared" si="55"/>
        <v>50000</v>
      </c>
    </row>
    <row r="169" spans="1:12" x14ac:dyDescent="0.3">
      <c r="A169" s="254"/>
      <c r="B169" s="261"/>
      <c r="C169" s="10" t="s">
        <v>38</v>
      </c>
      <c r="D169" s="24">
        <v>140000</v>
      </c>
      <c r="E169" s="24">
        <v>136600</v>
      </c>
      <c r="F169" s="135"/>
      <c r="G169" s="11"/>
      <c r="H169" s="11"/>
      <c r="I169" s="11"/>
      <c r="J169" s="20">
        <f t="shared" si="54"/>
        <v>136600</v>
      </c>
      <c r="K169" s="108">
        <v>50790</v>
      </c>
      <c r="L169" s="3">
        <f t="shared" si="55"/>
        <v>85810</v>
      </c>
    </row>
    <row r="170" spans="1:12" x14ac:dyDescent="0.3">
      <c r="A170" s="254"/>
      <c r="B170" s="261"/>
      <c r="C170" s="10" t="s">
        <v>40</v>
      </c>
      <c r="D170" s="24">
        <v>15000</v>
      </c>
      <c r="E170" s="24">
        <v>18400</v>
      </c>
      <c r="F170" s="135"/>
      <c r="G170" s="11"/>
      <c r="H170" s="11"/>
      <c r="I170" s="11"/>
      <c r="J170" s="20">
        <f t="shared" si="54"/>
        <v>18400</v>
      </c>
      <c r="K170" s="108">
        <v>6350</v>
      </c>
      <c r="L170" s="3">
        <f t="shared" si="55"/>
        <v>12050</v>
      </c>
    </row>
    <row r="171" spans="1:12" x14ac:dyDescent="0.3">
      <c r="A171" s="254"/>
      <c r="B171" s="261"/>
      <c r="C171" s="10" t="s">
        <v>41</v>
      </c>
      <c r="D171" s="24">
        <v>80000</v>
      </c>
      <c r="E171" s="24">
        <v>144188</v>
      </c>
      <c r="F171" s="11"/>
      <c r="G171" s="11"/>
      <c r="H171" s="11"/>
      <c r="I171" s="11"/>
      <c r="J171" s="20">
        <f t="shared" si="54"/>
        <v>144188</v>
      </c>
      <c r="K171" s="108">
        <v>94768</v>
      </c>
      <c r="L171" s="3">
        <f t="shared" si="55"/>
        <v>49420</v>
      </c>
    </row>
    <row r="172" spans="1:12" x14ac:dyDescent="0.3">
      <c r="A172" s="254"/>
      <c r="B172" s="261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4"/>
        <v>240000</v>
      </c>
      <c r="K172" s="108">
        <v>229650</v>
      </c>
      <c r="L172" s="3">
        <f t="shared" si="55"/>
        <v>10350</v>
      </c>
    </row>
    <row r="173" spans="1:12" x14ac:dyDescent="0.3">
      <c r="A173" s="254"/>
      <c r="B173" s="261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4"/>
        <v>128712</v>
      </c>
      <c r="K173" s="108">
        <v>22274</v>
      </c>
      <c r="L173" s="3">
        <f t="shared" si="55"/>
        <v>106438</v>
      </c>
    </row>
    <row r="174" spans="1:12" x14ac:dyDescent="0.3">
      <c r="A174" s="254"/>
      <c r="B174" s="261"/>
      <c r="C174" s="6" t="s">
        <v>49</v>
      </c>
      <c r="D174" s="7">
        <f>SUM(D165:D173)</f>
        <v>967900</v>
      </c>
      <c r="E174" s="7">
        <v>967900</v>
      </c>
      <c r="F174" s="7">
        <f t="shared" ref="F174:L174" si="56">SUM(F165:F173)</f>
        <v>0</v>
      </c>
      <c r="G174" s="7">
        <f t="shared" si="56"/>
        <v>0</v>
      </c>
      <c r="H174" s="7">
        <f t="shared" si="56"/>
        <v>0</v>
      </c>
      <c r="I174" s="7">
        <f t="shared" si="56"/>
        <v>0</v>
      </c>
      <c r="J174" s="7">
        <f t="shared" si="56"/>
        <v>967900</v>
      </c>
      <c r="K174" s="110">
        <f t="shared" si="56"/>
        <v>408368</v>
      </c>
      <c r="L174" s="7">
        <f t="shared" si="56"/>
        <v>559532</v>
      </c>
    </row>
    <row r="175" spans="1:12" x14ac:dyDescent="0.3">
      <c r="A175" s="262" t="s">
        <v>67</v>
      </c>
      <c r="B175" s="264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7">E175+F175+G175+H175+I175</f>
        <v>157200</v>
      </c>
      <c r="K175" s="108">
        <v>60800</v>
      </c>
      <c r="L175" s="3">
        <f t="shared" ref="L175:L191" si="58">J175-K175</f>
        <v>96400</v>
      </c>
    </row>
    <row r="176" spans="1:12" x14ac:dyDescent="0.3">
      <c r="A176" s="263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7"/>
        <v>29213</v>
      </c>
      <c r="K176" s="108">
        <v>11540</v>
      </c>
      <c r="L176" s="3">
        <f t="shared" si="58"/>
        <v>17673</v>
      </c>
    </row>
    <row r="177" spans="1:12" x14ac:dyDescent="0.3">
      <c r="A177" s="262" t="s">
        <v>75</v>
      </c>
      <c r="B177" s="264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7"/>
        <v>1604509</v>
      </c>
      <c r="K177" s="108">
        <v>1369857</v>
      </c>
      <c r="L177" s="3">
        <f t="shared" si="58"/>
        <v>234652</v>
      </c>
    </row>
    <row r="178" spans="1:12" x14ac:dyDescent="0.3">
      <c r="A178" s="263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7"/>
        <v>299119</v>
      </c>
      <c r="K178" s="108">
        <v>258868</v>
      </c>
      <c r="L178" s="3">
        <f t="shared" si="58"/>
        <v>40251</v>
      </c>
    </row>
    <row r="179" spans="1:12" x14ac:dyDescent="0.3">
      <c r="A179" s="322" t="s">
        <v>80</v>
      </c>
      <c r="B179" s="322"/>
      <c r="C179" s="322"/>
      <c r="D179" s="81">
        <f>SUM(D163+D164+D174+D175+D176+D177+D178)</f>
        <v>9772723</v>
      </c>
      <c r="E179" s="81">
        <f t="shared" ref="E179:L179" si="59">SUM(E163+E164+E174+E175+E176+E177+E178)</f>
        <v>10094891</v>
      </c>
      <c r="F179" s="81">
        <f t="shared" si="59"/>
        <v>0</v>
      </c>
      <c r="G179" s="81">
        <f t="shared" si="59"/>
        <v>0</v>
      </c>
      <c r="H179" s="81">
        <f t="shared" si="59"/>
        <v>0</v>
      </c>
      <c r="I179" s="81">
        <f t="shared" si="59"/>
        <v>0</v>
      </c>
      <c r="J179" s="81">
        <f t="shared" si="59"/>
        <v>10094891</v>
      </c>
      <c r="K179" s="112">
        <f t="shared" si="59"/>
        <v>7529388</v>
      </c>
      <c r="L179" s="81">
        <f t="shared" si="59"/>
        <v>2565503</v>
      </c>
    </row>
    <row r="180" spans="1:12" x14ac:dyDescent="0.3">
      <c r="A180" s="254" t="s">
        <v>15</v>
      </c>
      <c r="B180" s="264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7"/>
        <v>11144060</v>
      </c>
      <c r="K180" s="56">
        <v>8187749</v>
      </c>
      <c r="L180" s="3">
        <f t="shared" si="58"/>
        <v>2956311</v>
      </c>
    </row>
    <row r="181" spans="1:12" x14ac:dyDescent="0.3">
      <c r="A181" s="254"/>
      <c r="B181" s="268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7"/>
        <v>0</v>
      </c>
      <c r="K181" s="56">
        <v>0</v>
      </c>
      <c r="L181" s="3">
        <f t="shared" si="58"/>
        <v>0</v>
      </c>
    </row>
    <row r="182" spans="1:12" x14ac:dyDescent="0.3">
      <c r="A182" s="254"/>
      <c r="B182" s="268"/>
      <c r="C182" s="6" t="s">
        <v>53</v>
      </c>
      <c r="D182" s="7">
        <f>D180+D181</f>
        <v>11144060</v>
      </c>
      <c r="E182" s="7">
        <v>11144060</v>
      </c>
      <c r="F182" s="7">
        <f t="shared" ref="F182:L182" si="60">F180+F181</f>
        <v>0</v>
      </c>
      <c r="G182" s="7">
        <f t="shared" si="60"/>
        <v>0</v>
      </c>
      <c r="H182" s="7">
        <f t="shared" si="60"/>
        <v>0</v>
      </c>
      <c r="I182" s="7">
        <f t="shared" si="60"/>
        <v>0</v>
      </c>
      <c r="J182" s="8">
        <f t="shared" si="57"/>
        <v>11144060</v>
      </c>
      <c r="K182" s="113">
        <f t="shared" si="60"/>
        <v>8187749</v>
      </c>
      <c r="L182" s="7">
        <f t="shared" si="60"/>
        <v>2956311</v>
      </c>
    </row>
    <row r="183" spans="1:12" x14ac:dyDescent="0.3">
      <c r="A183" s="254"/>
      <c r="B183" s="268"/>
      <c r="C183" s="82" t="s">
        <v>31</v>
      </c>
      <c r="D183" s="83">
        <v>2295657</v>
      </c>
      <c r="E183" s="83">
        <v>6570207</v>
      </c>
      <c r="F183" s="83"/>
      <c r="G183" s="83"/>
      <c r="H183" s="83"/>
      <c r="I183" s="83"/>
      <c r="J183" s="85">
        <f t="shared" si="57"/>
        <v>6570207</v>
      </c>
      <c r="K183" s="111">
        <v>4345532</v>
      </c>
      <c r="L183" s="85">
        <f t="shared" si="58"/>
        <v>2224675</v>
      </c>
    </row>
    <row r="184" spans="1:12" x14ac:dyDescent="0.3">
      <c r="A184" s="254"/>
      <c r="B184" s="268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7"/>
        <v>232959</v>
      </c>
      <c r="K184" s="108">
        <v>232959</v>
      </c>
      <c r="L184" s="3">
        <f t="shared" si="58"/>
        <v>0</v>
      </c>
    </row>
    <row r="185" spans="1:12" x14ac:dyDescent="0.3">
      <c r="A185" s="254"/>
      <c r="B185" s="268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7"/>
        <v>230000</v>
      </c>
      <c r="K185" s="108">
        <v>0</v>
      </c>
      <c r="L185" s="3">
        <f t="shared" si="58"/>
        <v>230000</v>
      </c>
    </row>
    <row r="186" spans="1:12" x14ac:dyDescent="0.3">
      <c r="A186" s="254"/>
      <c r="B186" s="268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7"/>
        <v>14850000</v>
      </c>
      <c r="K186" s="108">
        <v>0</v>
      </c>
      <c r="L186" s="3">
        <f t="shared" si="58"/>
        <v>14850000</v>
      </c>
    </row>
    <row r="187" spans="1:12" x14ac:dyDescent="0.3">
      <c r="A187" s="254"/>
      <c r="B187" s="268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7"/>
        <v>12427045</v>
      </c>
      <c r="K187" s="108">
        <v>5250010</v>
      </c>
      <c r="L187" s="3">
        <f t="shared" si="58"/>
        <v>7177035</v>
      </c>
    </row>
    <row r="188" spans="1:12" x14ac:dyDescent="0.3">
      <c r="A188" s="254"/>
      <c r="B188" s="268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7"/>
        <v>230000</v>
      </c>
      <c r="K188" s="108">
        <v>38298</v>
      </c>
      <c r="L188" s="3">
        <f t="shared" si="58"/>
        <v>191702</v>
      </c>
    </row>
    <row r="189" spans="1:12" x14ac:dyDescent="0.3">
      <c r="A189" s="254"/>
      <c r="B189" s="268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7"/>
        <v>230000</v>
      </c>
      <c r="K189" s="108">
        <v>0</v>
      </c>
      <c r="L189" s="3">
        <f t="shared" si="58"/>
        <v>230000</v>
      </c>
    </row>
    <row r="190" spans="1:12" x14ac:dyDescent="0.3">
      <c r="A190" s="254"/>
      <c r="B190" s="268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7"/>
        <v>3445547</v>
      </c>
      <c r="K190" s="108">
        <v>1480399</v>
      </c>
      <c r="L190" s="3">
        <f t="shared" si="58"/>
        <v>1965148</v>
      </c>
    </row>
    <row r="191" spans="1:12" x14ac:dyDescent="0.3">
      <c r="A191" s="254"/>
      <c r="B191" s="268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7"/>
        <v>229990</v>
      </c>
      <c r="K191" s="108">
        <v>0</v>
      </c>
      <c r="L191" s="3">
        <f t="shared" si="58"/>
        <v>229990</v>
      </c>
    </row>
    <row r="192" spans="1:12" x14ac:dyDescent="0.3">
      <c r="A192" s="254"/>
      <c r="B192" s="268"/>
      <c r="C192" s="6" t="s">
        <v>49</v>
      </c>
      <c r="D192" s="7">
        <f>SUM(D184:D191)</f>
        <v>46650091</v>
      </c>
      <c r="E192" s="7">
        <v>31875541</v>
      </c>
      <c r="F192" s="7">
        <f t="shared" ref="F192:L192" si="61">SUM(F184:F191)</f>
        <v>0</v>
      </c>
      <c r="G192" s="7">
        <f t="shared" si="61"/>
        <v>0</v>
      </c>
      <c r="H192" s="7">
        <f t="shared" si="61"/>
        <v>0</v>
      </c>
      <c r="I192" s="7">
        <f t="shared" si="61"/>
        <v>0</v>
      </c>
      <c r="J192" s="7">
        <f t="shared" si="61"/>
        <v>31875541</v>
      </c>
      <c r="K192" s="110">
        <f t="shared" si="61"/>
        <v>7001666</v>
      </c>
      <c r="L192" s="7">
        <f t="shared" si="61"/>
        <v>24873875</v>
      </c>
    </row>
    <row r="193" spans="1:12" x14ac:dyDescent="0.3">
      <c r="A193" s="254"/>
      <c r="B193" s="268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2">E193+F193+G193+H193+I193</f>
        <v>0</v>
      </c>
      <c r="K193" s="108">
        <v>0</v>
      </c>
      <c r="L193" s="3">
        <f t="shared" ref="L193:L195" si="63">J193-K193</f>
        <v>0</v>
      </c>
    </row>
    <row r="194" spans="1:12" x14ac:dyDescent="0.3">
      <c r="A194" s="254"/>
      <c r="B194" s="268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2"/>
        <v>3740</v>
      </c>
      <c r="K194" s="108">
        <v>0</v>
      </c>
      <c r="L194" s="3">
        <f t="shared" si="63"/>
        <v>3740</v>
      </c>
    </row>
    <row r="195" spans="1:12" x14ac:dyDescent="0.3">
      <c r="A195" s="254"/>
      <c r="B195" s="268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2"/>
        <v>1010</v>
      </c>
      <c r="K195" s="108">
        <v>0</v>
      </c>
      <c r="L195" s="3">
        <f t="shared" si="63"/>
        <v>1010</v>
      </c>
    </row>
    <row r="196" spans="1:12" x14ac:dyDescent="0.3">
      <c r="A196" s="254"/>
      <c r="B196" s="268"/>
      <c r="C196" s="6" t="s">
        <v>52</v>
      </c>
      <c r="D196" s="7">
        <f>SUM(D193:D195)</f>
        <v>4750</v>
      </c>
      <c r="E196" s="7">
        <v>4750</v>
      </c>
      <c r="F196" s="7">
        <f t="shared" ref="F196:L196" si="64">SUM(F193:F195)</f>
        <v>0</v>
      </c>
      <c r="G196" s="7">
        <f t="shared" si="64"/>
        <v>0</v>
      </c>
      <c r="H196" s="7">
        <f t="shared" si="64"/>
        <v>0</v>
      </c>
      <c r="I196" s="7">
        <f t="shared" si="64"/>
        <v>0</v>
      </c>
      <c r="J196" s="7">
        <f t="shared" si="64"/>
        <v>4750</v>
      </c>
      <c r="K196" s="110">
        <f t="shared" si="64"/>
        <v>0</v>
      </c>
      <c r="L196" s="7">
        <f t="shared" si="64"/>
        <v>4750</v>
      </c>
    </row>
    <row r="197" spans="1:12" x14ac:dyDescent="0.3">
      <c r="A197" s="254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5">E197+F197+G197+H197+I197</f>
        <v>10500000</v>
      </c>
      <c r="K197" s="108">
        <v>10500000</v>
      </c>
      <c r="L197" s="3">
        <f t="shared" ref="L197" si="66">J197-K197</f>
        <v>0</v>
      </c>
    </row>
    <row r="198" spans="1:12" x14ac:dyDescent="0.3">
      <c r="A198" s="319" t="s">
        <v>81</v>
      </c>
      <c r="B198" s="320"/>
      <c r="C198" s="321"/>
      <c r="D198" s="80">
        <f>SUM(D182+D183+D192+D196+D197)</f>
        <v>60094558</v>
      </c>
      <c r="E198" s="80">
        <f t="shared" ref="E198:L198" si="67">SUM(E182+E183+E192+E196+E197)</f>
        <v>60094558</v>
      </c>
      <c r="F198" s="80">
        <f t="shared" si="67"/>
        <v>0</v>
      </c>
      <c r="G198" s="80">
        <f t="shared" si="67"/>
        <v>0</v>
      </c>
      <c r="H198" s="80">
        <f t="shared" si="67"/>
        <v>0</v>
      </c>
      <c r="I198" s="80">
        <f t="shared" si="67"/>
        <v>0</v>
      </c>
      <c r="J198" s="80">
        <f t="shared" si="67"/>
        <v>60094558</v>
      </c>
      <c r="K198" s="112">
        <f t="shared" si="67"/>
        <v>30034947</v>
      </c>
      <c r="L198" s="80">
        <f t="shared" si="67"/>
        <v>30059611</v>
      </c>
    </row>
    <row r="199" spans="1:12" x14ac:dyDescent="0.3">
      <c r="A199" s="285" t="s">
        <v>85</v>
      </c>
      <c r="B199" s="264" t="s">
        <v>46</v>
      </c>
      <c r="C199" s="12" t="s">
        <v>24</v>
      </c>
      <c r="D199" s="3">
        <v>9880165</v>
      </c>
      <c r="E199" s="3">
        <v>9562762</v>
      </c>
      <c r="F199" s="3"/>
      <c r="G199" s="3"/>
      <c r="H199" s="3"/>
      <c r="I199" s="3"/>
      <c r="J199" s="20">
        <f t="shared" ref="J199:J204" si="68">E199+F199+G199+H199+I199</f>
        <v>9562762</v>
      </c>
      <c r="K199" s="108">
        <v>7568980</v>
      </c>
      <c r="L199" s="3">
        <f t="shared" ref="L199:L204" si="69">J199-K199</f>
        <v>1993782</v>
      </c>
    </row>
    <row r="200" spans="1:12" x14ac:dyDescent="0.3">
      <c r="A200" s="285"/>
      <c r="B200" s="268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8"/>
        <v>400000</v>
      </c>
      <c r="K200" s="108">
        <v>400000</v>
      </c>
      <c r="L200" s="3">
        <f t="shared" si="69"/>
        <v>0</v>
      </c>
    </row>
    <row r="201" spans="1:12" x14ac:dyDescent="0.3">
      <c r="A201" s="285"/>
      <c r="B201" s="268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8"/>
        <v>20000</v>
      </c>
      <c r="K201" s="108">
        <v>0</v>
      </c>
      <c r="L201" s="3">
        <f t="shared" si="69"/>
        <v>20000</v>
      </c>
    </row>
    <row r="202" spans="1:12" x14ac:dyDescent="0.3">
      <c r="A202" s="285"/>
      <c r="B202" s="268"/>
      <c r="C202" s="2" t="s">
        <v>27</v>
      </c>
      <c r="D202" s="3">
        <v>75000</v>
      </c>
      <c r="E202" s="3">
        <v>90912</v>
      </c>
      <c r="F202" s="3"/>
      <c r="G202" s="3"/>
      <c r="H202" s="3"/>
      <c r="I202" s="3"/>
      <c r="J202" s="20">
        <f t="shared" si="68"/>
        <v>90912</v>
      </c>
      <c r="K202" s="108">
        <v>24480</v>
      </c>
      <c r="L202" s="3">
        <f t="shared" si="69"/>
        <v>66432</v>
      </c>
    </row>
    <row r="203" spans="1:12" x14ac:dyDescent="0.3">
      <c r="A203" s="285"/>
      <c r="B203" s="268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8"/>
        <v>48000</v>
      </c>
      <c r="K203" s="108">
        <v>24000</v>
      </c>
      <c r="L203" s="3">
        <f t="shared" si="69"/>
        <v>24000</v>
      </c>
    </row>
    <row r="204" spans="1:12" x14ac:dyDescent="0.3">
      <c r="A204" s="285"/>
      <c r="B204" s="268"/>
      <c r="C204" s="2" t="s">
        <v>29</v>
      </c>
      <c r="D204" s="3">
        <v>264000</v>
      </c>
      <c r="E204" s="3">
        <v>670126</v>
      </c>
      <c r="F204" s="3"/>
      <c r="G204" s="3"/>
      <c r="H204" s="3"/>
      <c r="I204" s="3"/>
      <c r="J204" s="20">
        <f t="shared" si="68"/>
        <v>670126</v>
      </c>
      <c r="K204" s="108">
        <v>500166</v>
      </c>
      <c r="L204" s="3">
        <f t="shared" si="69"/>
        <v>169960</v>
      </c>
    </row>
    <row r="205" spans="1:12" x14ac:dyDescent="0.3">
      <c r="A205" s="285"/>
      <c r="B205" s="268"/>
      <c r="C205" s="26" t="s">
        <v>53</v>
      </c>
      <c r="D205" s="7">
        <f>SUM(D199:D204)</f>
        <v>10687165</v>
      </c>
      <c r="E205" s="7">
        <v>10791800</v>
      </c>
      <c r="F205" s="7">
        <f t="shared" ref="F205:L205" si="70">SUM(F199:F204)</f>
        <v>0</v>
      </c>
      <c r="G205" s="7">
        <f t="shared" si="70"/>
        <v>0</v>
      </c>
      <c r="H205" s="7">
        <f t="shared" si="70"/>
        <v>0</v>
      </c>
      <c r="I205" s="7">
        <f t="shared" si="70"/>
        <v>0</v>
      </c>
      <c r="J205" s="7">
        <f t="shared" si="70"/>
        <v>10791800</v>
      </c>
      <c r="K205" s="110">
        <f t="shared" si="70"/>
        <v>8517626</v>
      </c>
      <c r="L205" s="7">
        <f t="shared" si="70"/>
        <v>2274174</v>
      </c>
    </row>
    <row r="206" spans="1:12" x14ac:dyDescent="0.3">
      <c r="A206" s="285"/>
      <c r="B206" s="268"/>
      <c r="C206" s="86" t="s">
        <v>31</v>
      </c>
      <c r="D206" s="87">
        <v>2120857</v>
      </c>
      <c r="E206" s="87">
        <v>2120857</v>
      </c>
      <c r="F206" s="88"/>
      <c r="G206" s="88"/>
      <c r="H206" s="88"/>
      <c r="I206" s="88"/>
      <c r="J206" s="84">
        <f t="shared" ref="J206:J214" si="71">E206+F206+G206+H206+I206</f>
        <v>2120857</v>
      </c>
      <c r="K206" s="111">
        <v>1701199</v>
      </c>
      <c r="L206" s="85">
        <f t="shared" ref="L206:L214" si="72">J206-K206</f>
        <v>419658</v>
      </c>
    </row>
    <row r="207" spans="1:12" x14ac:dyDescent="0.3">
      <c r="A207" s="285"/>
      <c r="B207" s="268"/>
      <c r="C207" s="172" t="s">
        <v>32</v>
      </c>
      <c r="D207" s="169">
        <v>0</v>
      </c>
      <c r="E207" s="169">
        <v>0</v>
      </c>
      <c r="F207" s="169">
        <v>13514</v>
      </c>
      <c r="G207" s="169"/>
      <c r="H207" s="169"/>
      <c r="I207" s="169"/>
      <c r="J207" s="170">
        <f t="shared" si="71"/>
        <v>13514</v>
      </c>
      <c r="K207" s="114">
        <v>13514</v>
      </c>
      <c r="L207" s="171">
        <f t="shared" si="72"/>
        <v>0</v>
      </c>
    </row>
    <row r="208" spans="1:12" x14ac:dyDescent="0.3">
      <c r="A208" s="285"/>
      <c r="B208" s="268"/>
      <c r="C208" s="99" t="s">
        <v>33</v>
      </c>
      <c r="D208" s="100">
        <v>0</v>
      </c>
      <c r="E208" s="100">
        <v>186928</v>
      </c>
      <c r="F208" s="100"/>
      <c r="G208" s="100"/>
      <c r="H208" s="100"/>
      <c r="I208" s="100"/>
      <c r="J208" s="20">
        <f t="shared" si="71"/>
        <v>186928</v>
      </c>
      <c r="K208" s="114">
        <v>30769</v>
      </c>
      <c r="L208" s="3">
        <f t="shared" si="72"/>
        <v>156159</v>
      </c>
    </row>
    <row r="209" spans="1:12" x14ac:dyDescent="0.3">
      <c r="A209" s="285"/>
      <c r="B209" s="268"/>
      <c r="C209" s="46" t="s">
        <v>35</v>
      </c>
      <c r="D209" s="47">
        <v>0</v>
      </c>
      <c r="E209" s="47">
        <v>172800</v>
      </c>
      <c r="F209" s="47"/>
      <c r="G209" s="47"/>
      <c r="H209" s="47"/>
      <c r="I209" s="47"/>
      <c r="J209" s="20">
        <f t="shared" si="71"/>
        <v>172800</v>
      </c>
      <c r="K209" s="114">
        <v>36233</v>
      </c>
      <c r="L209" s="3">
        <f t="shared" si="72"/>
        <v>136567</v>
      </c>
    </row>
    <row r="210" spans="1:12" x14ac:dyDescent="0.3">
      <c r="A210" s="285"/>
      <c r="B210" s="268"/>
      <c r="C210" s="98" t="s">
        <v>38</v>
      </c>
      <c r="D210" s="47">
        <v>0</v>
      </c>
      <c r="E210" s="47">
        <v>8500</v>
      </c>
      <c r="F210" s="47"/>
      <c r="G210" s="47"/>
      <c r="H210" s="47"/>
      <c r="I210" s="47"/>
      <c r="J210" s="20">
        <f t="shared" si="71"/>
        <v>8500</v>
      </c>
      <c r="K210" s="114">
        <v>3500</v>
      </c>
      <c r="L210" s="3">
        <f t="shared" si="72"/>
        <v>5000</v>
      </c>
    </row>
    <row r="211" spans="1:12" x14ac:dyDescent="0.3">
      <c r="A211" s="285"/>
      <c r="B211" s="268"/>
      <c r="C211" s="131" t="s">
        <v>41</v>
      </c>
      <c r="D211" s="47">
        <v>0</v>
      </c>
      <c r="E211" s="47">
        <v>21685</v>
      </c>
      <c r="F211" s="47"/>
      <c r="G211" s="47"/>
      <c r="H211" s="47"/>
      <c r="I211" s="47"/>
      <c r="J211" s="20">
        <f t="shared" si="71"/>
        <v>21685</v>
      </c>
      <c r="K211" s="114">
        <v>1685</v>
      </c>
      <c r="L211" s="3">
        <f t="shared" si="72"/>
        <v>20000</v>
      </c>
    </row>
    <row r="212" spans="1:12" x14ac:dyDescent="0.3">
      <c r="A212" s="285"/>
      <c r="B212" s="268"/>
      <c r="C212" s="46" t="s">
        <v>42</v>
      </c>
      <c r="D212" s="47">
        <v>0</v>
      </c>
      <c r="E212" s="47">
        <v>128910</v>
      </c>
      <c r="F212" s="47"/>
      <c r="G212" s="47"/>
      <c r="H212" s="47"/>
      <c r="I212" s="47"/>
      <c r="J212" s="20">
        <f t="shared" si="71"/>
        <v>128910</v>
      </c>
      <c r="K212" s="114">
        <v>87915</v>
      </c>
      <c r="L212" s="3">
        <f t="shared" si="72"/>
        <v>40995</v>
      </c>
    </row>
    <row r="213" spans="1:12" x14ac:dyDescent="0.3">
      <c r="A213" s="285"/>
      <c r="B213" s="268"/>
      <c r="C213" s="46" t="s">
        <v>44</v>
      </c>
      <c r="D213" s="47">
        <v>0</v>
      </c>
      <c r="E213" s="47">
        <v>111556</v>
      </c>
      <c r="F213" s="47">
        <v>985</v>
      </c>
      <c r="G213" s="47"/>
      <c r="H213" s="47"/>
      <c r="I213" s="47"/>
      <c r="J213" s="20">
        <f t="shared" si="71"/>
        <v>112541</v>
      </c>
      <c r="K213" s="114">
        <v>42038</v>
      </c>
      <c r="L213" s="3">
        <f t="shared" si="72"/>
        <v>70503</v>
      </c>
    </row>
    <row r="214" spans="1:12" x14ac:dyDescent="0.3">
      <c r="A214" s="285"/>
      <c r="B214" s="268"/>
      <c r="C214" s="46" t="s">
        <v>45</v>
      </c>
      <c r="D214" s="47">
        <v>0</v>
      </c>
      <c r="E214" s="47">
        <v>303254</v>
      </c>
      <c r="F214" s="47">
        <v>26400</v>
      </c>
      <c r="G214" s="47"/>
      <c r="H214" s="47"/>
      <c r="I214" s="47"/>
      <c r="J214" s="20">
        <f t="shared" si="71"/>
        <v>329654</v>
      </c>
      <c r="K214" s="114">
        <v>237279</v>
      </c>
      <c r="L214" s="3">
        <f t="shared" si="72"/>
        <v>92375</v>
      </c>
    </row>
    <row r="215" spans="1:12" x14ac:dyDescent="0.3">
      <c r="A215" s="263"/>
      <c r="B215" s="265"/>
      <c r="C215" s="49" t="s">
        <v>49</v>
      </c>
      <c r="D215" s="50">
        <f t="shared" ref="D215:I215" si="73">SUM(D207:D214)</f>
        <v>0</v>
      </c>
      <c r="E215" s="50">
        <f t="shared" si="73"/>
        <v>933633</v>
      </c>
      <c r="F215" s="50">
        <f t="shared" si="73"/>
        <v>40899</v>
      </c>
      <c r="G215" s="50">
        <f t="shared" si="73"/>
        <v>0</v>
      </c>
      <c r="H215" s="50">
        <f t="shared" si="73"/>
        <v>0</v>
      </c>
      <c r="I215" s="50">
        <f t="shared" si="73"/>
        <v>0</v>
      </c>
      <c r="J215" s="50">
        <f>SUM(J207:J214)</f>
        <v>974532</v>
      </c>
      <c r="K215" s="50">
        <f t="shared" ref="K215:L215" si="74">SUM(K207:K214)</f>
        <v>452933</v>
      </c>
      <c r="L215" s="50">
        <f t="shared" si="74"/>
        <v>521599</v>
      </c>
    </row>
    <row r="216" spans="1:12" x14ac:dyDescent="0.3">
      <c r="A216" s="254" t="s">
        <v>68</v>
      </c>
      <c r="B216" s="279" t="s">
        <v>46</v>
      </c>
      <c r="C216" s="16" t="s">
        <v>24</v>
      </c>
      <c r="D216" s="17">
        <v>2501556</v>
      </c>
      <c r="E216" s="17">
        <v>2501556</v>
      </c>
      <c r="F216" s="17"/>
      <c r="G216" s="17"/>
      <c r="H216" s="17"/>
      <c r="I216" s="17"/>
      <c r="J216" s="20">
        <f>E216+F216+G216+H216+I216</f>
        <v>2501556</v>
      </c>
      <c r="K216" s="108">
        <v>2122975</v>
      </c>
      <c r="L216" s="3">
        <f t="shared" ref="L216:L217" si="75">J216-K216</f>
        <v>378581</v>
      </c>
    </row>
    <row r="217" spans="1:12" x14ac:dyDescent="0.3">
      <c r="A217" s="262"/>
      <c r="B217" s="280"/>
      <c r="C217" s="18" t="s">
        <v>31</v>
      </c>
      <c r="D217" s="19">
        <v>466569</v>
      </c>
      <c r="E217" s="19">
        <v>466569</v>
      </c>
      <c r="F217" s="19"/>
      <c r="G217" s="19"/>
      <c r="H217" s="19"/>
      <c r="I217" s="19"/>
      <c r="J217" s="20">
        <f t="shared" ref="J217" si="76">E217+F217+G217+H217+I217</f>
        <v>466569</v>
      </c>
      <c r="K217" s="108">
        <v>400609</v>
      </c>
      <c r="L217" s="3">
        <f t="shared" si="75"/>
        <v>65960</v>
      </c>
    </row>
    <row r="218" spans="1:12" x14ac:dyDescent="0.3">
      <c r="A218" s="319" t="s">
        <v>82</v>
      </c>
      <c r="B218" s="320"/>
      <c r="C218" s="321"/>
      <c r="D218" s="78">
        <f>SUM(D205+D206+D216+D217+D215)</f>
        <v>15776147</v>
      </c>
      <c r="E218" s="78">
        <f t="shared" ref="E218:I218" si="77">SUM(E205+E206+E216+E217+E215)</f>
        <v>16814415</v>
      </c>
      <c r="F218" s="78">
        <f t="shared" si="77"/>
        <v>40899</v>
      </c>
      <c r="G218" s="78">
        <f t="shared" si="77"/>
        <v>0</v>
      </c>
      <c r="H218" s="78">
        <f t="shared" si="77"/>
        <v>0</v>
      </c>
      <c r="I218" s="78">
        <f t="shared" si="77"/>
        <v>0</v>
      </c>
      <c r="J218" s="78">
        <f>SUM(J205+J206+J216+J217+J215)</f>
        <v>16855314</v>
      </c>
      <c r="K218" s="116">
        <f>SUM(K205+K206+K216+K217+K215)</f>
        <v>13195342</v>
      </c>
      <c r="L218" s="79">
        <f>SUM(L205+L206+L216+L217+L215)</f>
        <v>3659972</v>
      </c>
    </row>
    <row r="219" spans="1:12" ht="30.75" customHeight="1" x14ac:dyDescent="0.3">
      <c r="A219" s="372" t="s">
        <v>74</v>
      </c>
      <c r="B219" s="373"/>
      <c r="C219" s="374"/>
      <c r="D219" s="163">
        <f t="shared" ref="D219:K219" si="78">SUM(D88+D113+D135+D156+D179+D198+D218)</f>
        <v>230443641</v>
      </c>
      <c r="E219" s="163">
        <f t="shared" si="78"/>
        <v>231774916</v>
      </c>
      <c r="F219" s="163">
        <f t="shared" si="78"/>
        <v>0</v>
      </c>
      <c r="G219" s="163">
        <f t="shared" si="78"/>
        <v>0</v>
      </c>
      <c r="H219" s="163">
        <f t="shared" si="78"/>
        <v>0</v>
      </c>
      <c r="I219" s="163">
        <f t="shared" si="78"/>
        <v>86923</v>
      </c>
      <c r="J219" s="163">
        <f t="shared" si="78"/>
        <v>231861839</v>
      </c>
      <c r="K219" s="164">
        <f t="shared" si="78"/>
        <v>157018927</v>
      </c>
      <c r="L219" s="163">
        <f>SUM(L88+L113+L135+L156+L179+L198+L218)</f>
        <v>74842912</v>
      </c>
    </row>
    <row r="220" spans="1:12" x14ac:dyDescent="0.3">
      <c r="B220" s="5"/>
      <c r="E220" s="4"/>
      <c r="F220" s="4"/>
      <c r="G220" s="4"/>
      <c r="H220" s="4"/>
      <c r="I220" s="4"/>
      <c r="J220" s="4"/>
      <c r="K220" s="107"/>
    </row>
    <row r="221" spans="1:12" x14ac:dyDescent="0.3">
      <c r="B221" s="5"/>
      <c r="E221" s="4"/>
      <c r="F221" s="4"/>
      <c r="G221" s="4"/>
      <c r="H221" s="4"/>
      <c r="I221" s="4"/>
      <c r="J221" s="4"/>
      <c r="K221" s="107"/>
    </row>
    <row r="222" spans="1:12" x14ac:dyDescent="0.3">
      <c r="B222" s="5"/>
      <c r="E222" s="4"/>
      <c r="F222" s="4"/>
      <c r="G222" s="4"/>
      <c r="H222" s="4"/>
      <c r="I222" s="4"/>
      <c r="J222" s="4"/>
      <c r="K222" s="107"/>
    </row>
    <row r="223" spans="1:12" x14ac:dyDescent="0.3">
      <c r="B223" s="5"/>
      <c r="E223" s="4"/>
      <c r="F223" s="4"/>
      <c r="G223" s="4"/>
      <c r="H223" s="4"/>
      <c r="I223" s="4"/>
      <c r="J223" s="4"/>
      <c r="K223" s="107"/>
    </row>
    <row r="224" spans="1:12" x14ac:dyDescent="0.3">
      <c r="B224" s="5"/>
      <c r="E224" s="4"/>
      <c r="F224" s="4"/>
      <c r="G224" s="4"/>
      <c r="H224" s="4"/>
      <c r="I224" s="4"/>
      <c r="J224" s="4"/>
      <c r="K224" s="107"/>
    </row>
    <row r="225" spans="1:11" ht="15" thickBot="1" x14ac:dyDescent="0.35">
      <c r="B225" s="5"/>
      <c r="E225" s="4"/>
      <c r="F225" s="4"/>
      <c r="G225" s="130">
        <v>43769</v>
      </c>
      <c r="H225" s="4"/>
      <c r="I225" s="4"/>
      <c r="J225" s="4"/>
      <c r="K225" s="107"/>
    </row>
    <row r="226" spans="1:11" ht="15" thickTop="1" x14ac:dyDescent="0.3">
      <c r="A226" s="283" t="s">
        <v>83</v>
      </c>
      <c r="B226" s="283"/>
      <c r="C226" s="283"/>
      <c r="D226" s="283"/>
      <c r="E226" s="283"/>
      <c r="F226" s="283"/>
      <c r="G226" s="283"/>
      <c r="H226" s="283"/>
      <c r="I226" s="283"/>
      <c r="J226" s="283"/>
      <c r="K226" s="283"/>
    </row>
    <row r="227" spans="1:11" s="168" customFormat="1" ht="33.75" customHeight="1" x14ac:dyDescent="0.3">
      <c r="A227" s="323" t="s">
        <v>0</v>
      </c>
      <c r="B227" s="324"/>
      <c r="C227" s="71" t="s">
        <v>3</v>
      </c>
      <c r="D227" s="71" t="s">
        <v>4</v>
      </c>
      <c r="E227" s="73" t="s">
        <v>119</v>
      </c>
      <c r="F227" s="167" t="s">
        <v>70</v>
      </c>
      <c r="G227" s="105" t="s">
        <v>163</v>
      </c>
      <c r="H227" s="106" t="s">
        <v>71</v>
      </c>
      <c r="I227" s="73" t="s">
        <v>71</v>
      </c>
      <c r="J227" s="73" t="s">
        <v>159</v>
      </c>
      <c r="K227" s="74" t="s">
        <v>161</v>
      </c>
    </row>
    <row r="228" spans="1:11" x14ac:dyDescent="0.3">
      <c r="A228" s="325"/>
      <c r="B228" s="326"/>
      <c r="C228" s="33" t="s">
        <v>16</v>
      </c>
      <c r="D228" s="34">
        <f t="shared" ref="D228:K229" si="79">D5+D14+D16+D18+D20+D22</f>
        <v>117230959</v>
      </c>
      <c r="E228" s="34">
        <f t="shared" si="79"/>
        <v>115186234</v>
      </c>
      <c r="F228" s="34">
        <f t="shared" si="79"/>
        <v>0</v>
      </c>
      <c r="G228" s="34">
        <f t="shared" si="79"/>
        <v>0</v>
      </c>
      <c r="H228" s="34">
        <f t="shared" si="79"/>
        <v>0</v>
      </c>
      <c r="I228" s="34">
        <f t="shared" si="79"/>
        <v>86923</v>
      </c>
      <c r="J228" s="34">
        <f t="shared" si="79"/>
        <v>115273157</v>
      </c>
      <c r="K228" s="34">
        <f t="shared" si="79"/>
        <v>67646642</v>
      </c>
    </row>
    <row r="229" spans="1:11" x14ac:dyDescent="0.3">
      <c r="A229" s="325"/>
      <c r="B229" s="326"/>
      <c r="C229" s="33" t="s">
        <v>17</v>
      </c>
      <c r="D229" s="34">
        <f t="shared" si="79"/>
        <v>16012810</v>
      </c>
      <c r="E229" s="34">
        <f t="shared" si="79"/>
        <v>16012810</v>
      </c>
      <c r="F229" s="34">
        <f t="shared" si="79"/>
        <v>0</v>
      </c>
      <c r="G229" s="34">
        <f t="shared" si="79"/>
        <v>0</v>
      </c>
      <c r="H229" s="34">
        <f t="shared" si="79"/>
        <v>0</v>
      </c>
      <c r="I229" s="34">
        <f t="shared" si="79"/>
        <v>0</v>
      </c>
      <c r="J229" s="34">
        <f t="shared" si="79"/>
        <v>16012810</v>
      </c>
      <c r="K229" s="34">
        <f t="shared" si="79"/>
        <v>16012810</v>
      </c>
    </row>
    <row r="230" spans="1:11" x14ac:dyDescent="0.3">
      <c r="A230" s="325"/>
      <c r="B230" s="326"/>
      <c r="C230" s="33" t="s">
        <v>18</v>
      </c>
      <c r="D230" s="34">
        <f t="shared" ref="D230:K232" si="80">D7</f>
        <v>96985672</v>
      </c>
      <c r="E230" s="34">
        <f t="shared" si="80"/>
        <v>100329672</v>
      </c>
      <c r="F230" s="34">
        <f t="shared" si="80"/>
        <v>0</v>
      </c>
      <c r="G230" s="34">
        <f t="shared" si="80"/>
        <v>0</v>
      </c>
      <c r="H230" s="34">
        <f t="shared" si="80"/>
        <v>0</v>
      </c>
      <c r="I230" s="34">
        <f t="shared" si="80"/>
        <v>0</v>
      </c>
      <c r="J230" s="34">
        <f t="shared" si="80"/>
        <v>100329672</v>
      </c>
      <c r="K230" s="34">
        <f t="shared" si="80"/>
        <v>77496655</v>
      </c>
    </row>
    <row r="231" spans="1:11" x14ac:dyDescent="0.3">
      <c r="A231" s="325"/>
      <c r="B231" s="326"/>
      <c r="C231" s="35" t="s">
        <v>22</v>
      </c>
      <c r="D231" s="34">
        <f t="shared" si="80"/>
        <v>200000</v>
      </c>
      <c r="E231" s="34">
        <f t="shared" si="80"/>
        <v>200000</v>
      </c>
      <c r="F231" s="34">
        <f t="shared" si="80"/>
        <v>0</v>
      </c>
      <c r="G231" s="34">
        <f t="shared" si="80"/>
        <v>0</v>
      </c>
      <c r="H231" s="34">
        <f t="shared" si="80"/>
        <v>0</v>
      </c>
      <c r="I231" s="34">
        <f t="shared" si="80"/>
        <v>0</v>
      </c>
      <c r="J231" s="34">
        <f t="shared" si="80"/>
        <v>200000</v>
      </c>
      <c r="K231" s="34">
        <f t="shared" si="80"/>
        <v>0</v>
      </c>
    </row>
    <row r="232" spans="1:11" x14ac:dyDescent="0.3">
      <c r="A232" s="325"/>
      <c r="B232" s="326"/>
      <c r="C232" s="35" t="s">
        <v>19</v>
      </c>
      <c r="D232" s="34">
        <f t="shared" si="80"/>
        <v>13200</v>
      </c>
      <c r="E232" s="34">
        <f t="shared" si="80"/>
        <v>31926</v>
      </c>
      <c r="F232" s="34">
        <f t="shared" si="80"/>
        <v>0</v>
      </c>
      <c r="G232" s="34">
        <f t="shared" si="80"/>
        <v>0</v>
      </c>
      <c r="H232" s="34">
        <f t="shared" si="80"/>
        <v>0</v>
      </c>
      <c r="I232" s="34">
        <f t="shared" si="80"/>
        <v>0</v>
      </c>
      <c r="J232" s="34">
        <f t="shared" si="80"/>
        <v>31926</v>
      </c>
      <c r="K232" s="34">
        <f t="shared" si="80"/>
        <v>24072</v>
      </c>
    </row>
    <row r="233" spans="1:11" x14ac:dyDescent="0.3">
      <c r="A233" s="325"/>
      <c r="B233" s="326"/>
      <c r="C233" s="35" t="s">
        <v>84</v>
      </c>
      <c r="D233" s="34">
        <f t="shared" ref="D233:K233" si="81">D13+D11</f>
        <v>0</v>
      </c>
      <c r="E233" s="34">
        <f t="shared" si="81"/>
        <v>12949</v>
      </c>
      <c r="F233" s="34">
        <f t="shared" si="81"/>
        <v>0</v>
      </c>
      <c r="G233" s="34">
        <f t="shared" si="81"/>
        <v>0</v>
      </c>
      <c r="H233" s="34">
        <f t="shared" si="81"/>
        <v>0</v>
      </c>
      <c r="I233" s="34">
        <f t="shared" si="81"/>
        <v>0</v>
      </c>
      <c r="J233" s="34">
        <f t="shared" si="81"/>
        <v>12949</v>
      </c>
      <c r="K233" s="34">
        <f t="shared" si="81"/>
        <v>4487</v>
      </c>
    </row>
    <row r="234" spans="1:11" x14ac:dyDescent="0.3">
      <c r="A234" s="325"/>
      <c r="B234" s="326"/>
      <c r="C234" s="33" t="s">
        <v>20</v>
      </c>
      <c r="D234" s="34">
        <f t="shared" ref="D234:K234" si="82">D10+D12</f>
        <v>1000</v>
      </c>
      <c r="E234" s="34">
        <f t="shared" si="82"/>
        <v>1325</v>
      </c>
      <c r="F234" s="34">
        <f t="shared" si="82"/>
        <v>0</v>
      </c>
      <c r="G234" s="34">
        <f t="shared" si="82"/>
        <v>0</v>
      </c>
      <c r="H234" s="34">
        <f t="shared" si="82"/>
        <v>0</v>
      </c>
      <c r="I234" s="34">
        <f t="shared" si="82"/>
        <v>0</v>
      </c>
      <c r="J234" s="34">
        <f t="shared" si="82"/>
        <v>1325</v>
      </c>
      <c r="K234" s="34">
        <f t="shared" si="82"/>
        <v>325</v>
      </c>
    </row>
    <row r="235" spans="1:11" x14ac:dyDescent="0.3">
      <c r="A235" s="325"/>
      <c r="B235" s="326"/>
      <c r="C235" s="63" t="s">
        <v>86</v>
      </c>
      <c r="D235" s="64">
        <f t="shared" ref="D235:K235" si="83">D13+D12+D11+D10+D9</f>
        <v>14200</v>
      </c>
      <c r="E235" s="64">
        <f t="shared" si="83"/>
        <v>46200</v>
      </c>
      <c r="F235" s="64">
        <f t="shared" si="83"/>
        <v>0</v>
      </c>
      <c r="G235" s="64">
        <f t="shared" si="83"/>
        <v>0</v>
      </c>
      <c r="H235" s="64">
        <f t="shared" si="83"/>
        <v>0</v>
      </c>
      <c r="I235" s="64">
        <f t="shared" si="83"/>
        <v>0</v>
      </c>
      <c r="J235" s="64">
        <f t="shared" si="83"/>
        <v>46200</v>
      </c>
      <c r="K235" s="64">
        <f t="shared" si="83"/>
        <v>28884</v>
      </c>
    </row>
    <row r="236" spans="1:11" x14ac:dyDescent="0.3">
      <c r="A236" s="325"/>
      <c r="B236" s="326"/>
      <c r="C236" s="63" t="s">
        <v>87</v>
      </c>
      <c r="D236" s="64">
        <f t="shared" ref="D236:K236" si="84">D23+D21+D19+D17+D15+D7+D6</f>
        <v>112998482</v>
      </c>
      <c r="E236" s="64">
        <f t="shared" si="84"/>
        <v>116342482</v>
      </c>
      <c r="F236" s="64">
        <f t="shared" si="84"/>
        <v>0</v>
      </c>
      <c r="G236" s="64">
        <f t="shared" si="84"/>
        <v>0</v>
      </c>
      <c r="H236" s="64">
        <f t="shared" si="84"/>
        <v>0</v>
      </c>
      <c r="I236" s="64">
        <f t="shared" si="84"/>
        <v>0</v>
      </c>
      <c r="J236" s="64">
        <f t="shared" si="84"/>
        <v>116342482</v>
      </c>
      <c r="K236" s="64">
        <f t="shared" si="84"/>
        <v>93509465</v>
      </c>
    </row>
    <row r="237" spans="1:11" x14ac:dyDescent="0.3">
      <c r="A237" s="325"/>
      <c r="B237" s="326"/>
      <c r="C237" s="63" t="s">
        <v>94</v>
      </c>
      <c r="D237" s="64">
        <f t="shared" ref="D237:K237" si="85">D24</f>
        <v>230443641</v>
      </c>
      <c r="E237" s="64">
        <f t="shared" si="85"/>
        <v>231774916</v>
      </c>
      <c r="F237" s="64">
        <f t="shared" si="85"/>
        <v>0</v>
      </c>
      <c r="G237" s="64">
        <f t="shared" si="85"/>
        <v>0</v>
      </c>
      <c r="H237" s="64">
        <f t="shared" si="85"/>
        <v>0</v>
      </c>
      <c r="I237" s="64">
        <f t="shared" si="85"/>
        <v>86923</v>
      </c>
      <c r="J237" s="64">
        <f t="shared" si="85"/>
        <v>231861839</v>
      </c>
      <c r="K237" s="64">
        <f t="shared" si="85"/>
        <v>161184991</v>
      </c>
    </row>
    <row r="238" spans="1:11" x14ac:dyDescent="0.3">
      <c r="A238" s="325"/>
      <c r="B238" s="326"/>
      <c r="C238" s="33" t="s">
        <v>24</v>
      </c>
      <c r="D238" s="34">
        <f t="shared" ref="D238:I238" si="86">D89+D111+D114+D133+D136+D154+D157+D177+D199+D216+D180+D86+D84+D52+D25</f>
        <v>128356144</v>
      </c>
      <c r="E238" s="34">
        <f t="shared" si="86"/>
        <v>128254396</v>
      </c>
      <c r="F238" s="34">
        <f t="shared" si="86"/>
        <v>0</v>
      </c>
      <c r="G238" s="34">
        <f t="shared" si="86"/>
        <v>0</v>
      </c>
      <c r="H238" s="34">
        <f t="shared" si="86"/>
        <v>0</v>
      </c>
      <c r="I238" s="34">
        <f t="shared" si="86"/>
        <v>73977</v>
      </c>
      <c r="J238" s="34">
        <f>J216+J199+J180+J177+J157+J154+J136+J133+J114+J111+J89+J86+J84+J52+J25</f>
        <v>128328373</v>
      </c>
      <c r="K238" s="34">
        <f>K216+K199+K180+K177+K157+K154+K136+K133+K114+K111+K89+K86+K84+K52+K25</f>
        <v>98766215</v>
      </c>
    </row>
    <row r="239" spans="1:11" x14ac:dyDescent="0.3">
      <c r="A239" s="325"/>
      <c r="B239" s="326"/>
      <c r="C239" s="33" t="s">
        <v>47</v>
      </c>
      <c r="D239" s="34">
        <f t="shared" ref="D239:K240" si="87">D53</f>
        <v>2040480</v>
      </c>
      <c r="E239" s="34">
        <f t="shared" si="87"/>
        <v>2040480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2040480</v>
      </c>
      <c r="K239" s="41">
        <f t="shared" si="87"/>
        <v>1595194</v>
      </c>
    </row>
    <row r="240" spans="1:11" x14ac:dyDescent="0.3">
      <c r="A240" s="325"/>
      <c r="B240" s="326"/>
      <c r="C240" s="33" t="s">
        <v>48</v>
      </c>
      <c r="D240" s="34">
        <f t="shared" si="87"/>
        <v>0</v>
      </c>
      <c r="E240" s="34">
        <f t="shared" si="87"/>
        <v>0</v>
      </c>
      <c r="F240" s="34">
        <f t="shared" si="87"/>
        <v>0</v>
      </c>
      <c r="G240" s="34">
        <f t="shared" si="87"/>
        <v>0</v>
      </c>
      <c r="H240" s="34">
        <f t="shared" si="87"/>
        <v>0</v>
      </c>
      <c r="I240" s="34">
        <f t="shared" si="87"/>
        <v>0</v>
      </c>
      <c r="J240" s="34">
        <f t="shared" si="87"/>
        <v>0</v>
      </c>
      <c r="K240" s="34">
        <f t="shared" si="87"/>
        <v>0</v>
      </c>
    </row>
    <row r="241" spans="1:11" x14ac:dyDescent="0.3">
      <c r="A241" s="325"/>
      <c r="B241" s="326"/>
      <c r="C241" s="35" t="s">
        <v>25</v>
      </c>
      <c r="D241" s="34">
        <f t="shared" ref="D241:K242" si="88">D200+D158+D137+D115+D90+D55+D26</f>
        <v>3992000</v>
      </c>
      <c r="E241" s="34">
        <f t="shared" si="88"/>
        <v>3992000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3992000</v>
      </c>
      <c r="K241" s="34">
        <f t="shared" si="88"/>
        <v>3752500</v>
      </c>
    </row>
    <row r="242" spans="1:11" x14ac:dyDescent="0.3">
      <c r="A242" s="325"/>
      <c r="B242" s="326"/>
      <c r="C242" s="35" t="s">
        <v>26</v>
      </c>
      <c r="D242" s="34">
        <f t="shared" si="88"/>
        <v>200000</v>
      </c>
      <c r="E242" s="34">
        <f t="shared" si="88"/>
        <v>200000</v>
      </c>
      <c r="F242" s="34">
        <f t="shared" si="88"/>
        <v>0</v>
      </c>
      <c r="G242" s="34">
        <f t="shared" si="88"/>
        <v>0</v>
      </c>
      <c r="H242" s="34">
        <f t="shared" si="88"/>
        <v>0</v>
      </c>
      <c r="I242" s="34">
        <f t="shared" si="88"/>
        <v>0</v>
      </c>
      <c r="J242" s="34">
        <f t="shared" si="88"/>
        <v>200000</v>
      </c>
      <c r="K242" s="34">
        <f t="shared" si="88"/>
        <v>0</v>
      </c>
    </row>
    <row r="243" spans="1:11" x14ac:dyDescent="0.3">
      <c r="A243" s="325"/>
      <c r="B243" s="326"/>
      <c r="C243" s="33" t="s">
        <v>27</v>
      </c>
      <c r="D243" s="34">
        <f t="shared" ref="D243:K243" si="89">D202+D139+D92+D57+D28</f>
        <v>1661400</v>
      </c>
      <c r="E243" s="34">
        <f t="shared" si="89"/>
        <v>1661400</v>
      </c>
      <c r="F243" s="34">
        <f t="shared" si="89"/>
        <v>0</v>
      </c>
      <c r="G243" s="34">
        <f t="shared" si="89"/>
        <v>0</v>
      </c>
      <c r="H243" s="34">
        <f t="shared" si="89"/>
        <v>0</v>
      </c>
      <c r="I243" s="34">
        <f t="shared" si="89"/>
        <v>0</v>
      </c>
      <c r="J243" s="34">
        <f t="shared" si="89"/>
        <v>1661400</v>
      </c>
      <c r="K243" s="34">
        <f t="shared" si="89"/>
        <v>1012620</v>
      </c>
    </row>
    <row r="244" spans="1:11" x14ac:dyDescent="0.3">
      <c r="A244" s="325"/>
      <c r="B244" s="326"/>
      <c r="C244" s="35" t="s">
        <v>28</v>
      </c>
      <c r="D244" s="34">
        <f t="shared" ref="D244:K244" si="90">D203+D160+D140+D117+D58+D29+D93</f>
        <v>481000</v>
      </c>
      <c r="E244" s="34">
        <f t="shared" si="90"/>
        <v>481000</v>
      </c>
      <c r="F244" s="34">
        <f t="shared" si="90"/>
        <v>0</v>
      </c>
      <c r="G244" s="34">
        <f t="shared" si="90"/>
        <v>0</v>
      </c>
      <c r="H244" s="34">
        <f t="shared" si="90"/>
        <v>0</v>
      </c>
      <c r="I244" s="34">
        <f t="shared" si="90"/>
        <v>0</v>
      </c>
      <c r="J244" s="34">
        <f t="shared" si="90"/>
        <v>481000</v>
      </c>
      <c r="K244" s="34">
        <f t="shared" si="90"/>
        <v>222000</v>
      </c>
    </row>
    <row r="245" spans="1:11" x14ac:dyDescent="0.3">
      <c r="A245" s="325"/>
      <c r="B245" s="326"/>
      <c r="C245" s="33" t="s">
        <v>29</v>
      </c>
      <c r="D245" s="34">
        <f t="shared" ref="D245:K245" si="91">D204+D175+D161+D141+D118+D109+D94+D82+D80+D59+D30+D131</f>
        <v>3451400</v>
      </c>
      <c r="E245" s="34">
        <f t="shared" si="91"/>
        <v>4640408</v>
      </c>
      <c r="F245" s="34">
        <f t="shared" si="91"/>
        <v>0</v>
      </c>
      <c r="G245" s="34">
        <f t="shared" si="91"/>
        <v>0</v>
      </c>
      <c r="H245" s="34">
        <f t="shared" si="91"/>
        <v>0</v>
      </c>
      <c r="I245" s="34">
        <f t="shared" si="91"/>
        <v>0</v>
      </c>
      <c r="J245" s="34">
        <f t="shared" si="91"/>
        <v>4640408</v>
      </c>
      <c r="K245" s="34">
        <f t="shared" si="91"/>
        <v>2814436</v>
      </c>
    </row>
    <row r="246" spans="1:11" x14ac:dyDescent="0.3">
      <c r="A246" s="325"/>
      <c r="B246" s="326"/>
      <c r="C246" s="35" t="s">
        <v>30</v>
      </c>
      <c r="D246" s="34">
        <f t="shared" ref="D246:K246" si="92">D162+D142+D119+D60+D31+D181</f>
        <v>200000</v>
      </c>
      <c r="E246" s="34">
        <f t="shared" si="92"/>
        <v>200000</v>
      </c>
      <c r="F246" s="34">
        <f t="shared" si="92"/>
        <v>0</v>
      </c>
      <c r="G246" s="34">
        <f t="shared" si="92"/>
        <v>0</v>
      </c>
      <c r="H246" s="34">
        <f t="shared" si="92"/>
        <v>0</v>
      </c>
      <c r="I246" s="34">
        <f t="shared" si="92"/>
        <v>0</v>
      </c>
      <c r="J246" s="34">
        <f t="shared" si="92"/>
        <v>200000</v>
      </c>
      <c r="K246" s="34">
        <f t="shared" si="92"/>
        <v>39304</v>
      </c>
    </row>
    <row r="247" spans="1:11" x14ac:dyDescent="0.3">
      <c r="A247" s="325"/>
      <c r="B247" s="326"/>
      <c r="C247" s="63" t="s">
        <v>53</v>
      </c>
      <c r="D247" s="64">
        <f t="shared" ref="D247:K247" si="93">D205+D182+D163+D143+D216+D177+D154+D133+D131+D175+D120+D111+D109+D96+D86+D84+D82+D80+D61+D32</f>
        <v>140382424</v>
      </c>
      <c r="E247" s="64">
        <f t="shared" si="93"/>
        <v>141469684</v>
      </c>
      <c r="F247" s="64">
        <f t="shared" si="93"/>
        <v>0</v>
      </c>
      <c r="G247" s="64">
        <f t="shared" si="93"/>
        <v>0</v>
      </c>
      <c r="H247" s="64">
        <f t="shared" si="93"/>
        <v>0</v>
      </c>
      <c r="I247" s="64">
        <f t="shared" si="93"/>
        <v>73977</v>
      </c>
      <c r="J247" s="64">
        <f t="shared" si="93"/>
        <v>141543661</v>
      </c>
      <c r="K247" s="64">
        <f t="shared" si="93"/>
        <v>108202269</v>
      </c>
    </row>
    <row r="248" spans="1:11" x14ac:dyDescent="0.3">
      <c r="A248" s="325"/>
      <c r="B248" s="326"/>
      <c r="C248" s="65" t="s">
        <v>31</v>
      </c>
      <c r="D248" s="64">
        <f t="shared" ref="D248:K248" si="94">D206+D183+D178+D176+D217+D164+D155+D144+D134+D132+D121+D112+D110+D97+D87+D85+D83+D81+D62+D33</f>
        <v>27536677</v>
      </c>
      <c r="E248" s="64">
        <f t="shared" si="94"/>
        <v>32023242</v>
      </c>
      <c r="F248" s="64">
        <f t="shared" si="94"/>
        <v>0</v>
      </c>
      <c r="G248" s="64">
        <f t="shared" si="94"/>
        <v>0</v>
      </c>
      <c r="H248" s="64">
        <f t="shared" si="94"/>
        <v>0</v>
      </c>
      <c r="I248" s="64">
        <f t="shared" si="94"/>
        <v>12946</v>
      </c>
      <c r="J248" s="64">
        <f t="shared" si="94"/>
        <v>32036188</v>
      </c>
      <c r="K248" s="64">
        <f t="shared" si="94"/>
        <v>24567716</v>
      </c>
    </row>
    <row r="249" spans="1:11" x14ac:dyDescent="0.3">
      <c r="A249" s="325"/>
      <c r="B249" s="326"/>
      <c r="C249" s="33" t="s">
        <v>32</v>
      </c>
      <c r="D249" s="34">
        <f t="shared" ref="D249:K249" si="95">D165+D145+D122+D98+D63+D34+D207</f>
        <v>540000</v>
      </c>
      <c r="E249" s="34">
        <f t="shared" si="95"/>
        <v>500000</v>
      </c>
      <c r="F249" s="34">
        <f t="shared" si="95"/>
        <v>0</v>
      </c>
      <c r="G249" s="34">
        <f t="shared" si="95"/>
        <v>0</v>
      </c>
      <c r="H249" s="34">
        <f t="shared" si="95"/>
        <v>0</v>
      </c>
      <c r="I249" s="34">
        <f t="shared" si="95"/>
        <v>0</v>
      </c>
      <c r="J249" s="34">
        <f t="shared" si="95"/>
        <v>500000</v>
      </c>
      <c r="K249" s="34">
        <f t="shared" si="95"/>
        <v>63152</v>
      </c>
    </row>
    <row r="250" spans="1:11" x14ac:dyDescent="0.3">
      <c r="A250" s="325"/>
      <c r="B250" s="326"/>
      <c r="C250" s="35" t="s">
        <v>33</v>
      </c>
      <c r="D250" s="34">
        <f t="shared" ref="D250:K250" si="96">D184+D166+D146+D123+D99+D64+D35+D208</f>
        <v>1700000</v>
      </c>
      <c r="E250" s="34">
        <f t="shared" si="96"/>
        <v>1909887</v>
      </c>
      <c r="F250" s="34">
        <f t="shared" si="96"/>
        <v>0</v>
      </c>
      <c r="G250" s="34">
        <f t="shared" si="96"/>
        <v>0</v>
      </c>
      <c r="H250" s="34">
        <f t="shared" si="96"/>
        <v>0</v>
      </c>
      <c r="I250" s="34">
        <f t="shared" si="96"/>
        <v>0</v>
      </c>
      <c r="J250" s="34">
        <f t="shared" si="96"/>
        <v>1909887</v>
      </c>
      <c r="K250" s="34">
        <f t="shared" si="96"/>
        <v>314080</v>
      </c>
    </row>
    <row r="251" spans="1:11" x14ac:dyDescent="0.3">
      <c r="A251" s="325"/>
      <c r="B251" s="326"/>
      <c r="C251" s="33" t="s">
        <v>34</v>
      </c>
      <c r="D251" s="34">
        <f t="shared" ref="D251:K251" si="97">D167+D147+D124+D100+D65+D36</f>
        <v>1036000</v>
      </c>
      <c r="E251" s="34">
        <f t="shared" si="97"/>
        <v>988000</v>
      </c>
      <c r="F251" s="34">
        <f t="shared" si="97"/>
        <v>0</v>
      </c>
      <c r="G251" s="34">
        <f t="shared" si="97"/>
        <v>0</v>
      </c>
      <c r="H251" s="34">
        <f t="shared" si="97"/>
        <v>0</v>
      </c>
      <c r="I251" s="34">
        <f t="shared" si="97"/>
        <v>0</v>
      </c>
      <c r="J251" s="34">
        <f t="shared" si="97"/>
        <v>988000</v>
      </c>
      <c r="K251" s="34">
        <f t="shared" si="97"/>
        <v>183356</v>
      </c>
    </row>
    <row r="252" spans="1:11" x14ac:dyDescent="0.3">
      <c r="A252" s="325"/>
      <c r="B252" s="326"/>
      <c r="C252" s="33" t="s">
        <v>35</v>
      </c>
      <c r="D252" s="34">
        <f t="shared" ref="D252:K252" si="98">D209+D168+D101+D66+D37</f>
        <v>610000</v>
      </c>
      <c r="E252" s="34">
        <f t="shared" si="98"/>
        <v>617000</v>
      </c>
      <c r="F252" s="34">
        <f t="shared" si="98"/>
        <v>0</v>
      </c>
      <c r="G252" s="34">
        <f t="shared" si="98"/>
        <v>0</v>
      </c>
      <c r="H252" s="34">
        <f t="shared" si="98"/>
        <v>0</v>
      </c>
      <c r="I252" s="34">
        <f t="shared" si="98"/>
        <v>0</v>
      </c>
      <c r="J252" s="34">
        <f t="shared" si="98"/>
        <v>617000</v>
      </c>
      <c r="K252" s="34">
        <f t="shared" si="98"/>
        <v>186915</v>
      </c>
    </row>
    <row r="253" spans="1:11" x14ac:dyDescent="0.3">
      <c r="A253" s="325"/>
      <c r="B253" s="326"/>
      <c r="C253" s="33" t="s">
        <v>36</v>
      </c>
      <c r="D253" s="34">
        <f t="shared" ref="D253:K253" si="99">D102+D67+D38</f>
        <v>1739080</v>
      </c>
      <c r="E253" s="34">
        <f t="shared" si="99"/>
        <v>1738180</v>
      </c>
      <c r="F253" s="34">
        <f t="shared" si="99"/>
        <v>0</v>
      </c>
      <c r="G253" s="34">
        <f t="shared" si="99"/>
        <v>0</v>
      </c>
      <c r="H253" s="34">
        <f t="shared" si="99"/>
        <v>0</v>
      </c>
      <c r="I253" s="34">
        <f t="shared" si="99"/>
        <v>0</v>
      </c>
      <c r="J253" s="34">
        <f t="shared" si="99"/>
        <v>1738180</v>
      </c>
      <c r="K253" s="34">
        <f t="shared" si="99"/>
        <v>1209636</v>
      </c>
    </row>
    <row r="254" spans="1:11" x14ac:dyDescent="0.3">
      <c r="A254" s="325"/>
      <c r="B254" s="326"/>
      <c r="C254" s="38" t="s">
        <v>37</v>
      </c>
      <c r="D254" s="34">
        <f t="shared" ref="D254:K254" si="100">D185+D68+D39</f>
        <v>356000</v>
      </c>
      <c r="E254" s="34">
        <f t="shared" si="100"/>
        <v>356000</v>
      </c>
      <c r="F254" s="34">
        <f t="shared" si="100"/>
        <v>0</v>
      </c>
      <c r="G254" s="34">
        <f t="shared" si="100"/>
        <v>0</v>
      </c>
      <c r="H254" s="34">
        <f t="shared" si="100"/>
        <v>0</v>
      </c>
      <c r="I254" s="34">
        <f t="shared" si="100"/>
        <v>0</v>
      </c>
      <c r="J254" s="34">
        <f t="shared" si="100"/>
        <v>356000</v>
      </c>
      <c r="K254" s="34">
        <f t="shared" si="100"/>
        <v>0</v>
      </c>
    </row>
    <row r="255" spans="1:11" x14ac:dyDescent="0.3">
      <c r="A255" s="325"/>
      <c r="B255" s="326"/>
      <c r="C255" s="33" t="s">
        <v>38</v>
      </c>
      <c r="D255" s="34">
        <f t="shared" ref="D255:K255" si="101">D169+D148+D125+D103+D69+D40+D210</f>
        <v>1394000</v>
      </c>
      <c r="E255" s="34">
        <f t="shared" si="101"/>
        <v>1384180</v>
      </c>
      <c r="F255" s="34">
        <f t="shared" si="101"/>
        <v>0</v>
      </c>
      <c r="G255" s="34">
        <f t="shared" si="101"/>
        <v>0</v>
      </c>
      <c r="H255" s="34">
        <f t="shared" si="101"/>
        <v>0</v>
      </c>
      <c r="I255" s="34">
        <f t="shared" si="101"/>
        <v>0</v>
      </c>
      <c r="J255" s="34">
        <f t="shared" si="101"/>
        <v>1384180</v>
      </c>
      <c r="K255" s="34">
        <f t="shared" si="101"/>
        <v>436870</v>
      </c>
    </row>
    <row r="256" spans="1:11" x14ac:dyDescent="0.3">
      <c r="A256" s="325"/>
      <c r="B256" s="326"/>
      <c r="C256" s="33" t="s">
        <v>39</v>
      </c>
      <c r="D256" s="34">
        <f t="shared" ref="D256:K256" si="102">D41</f>
        <v>13200</v>
      </c>
      <c r="E256" s="34">
        <f t="shared" si="102"/>
        <v>31926</v>
      </c>
      <c r="F256" s="34">
        <f t="shared" si="102"/>
        <v>0</v>
      </c>
      <c r="G256" s="34">
        <f t="shared" si="102"/>
        <v>0</v>
      </c>
      <c r="H256" s="34">
        <f t="shared" si="102"/>
        <v>0</v>
      </c>
      <c r="I256" s="34">
        <f t="shared" si="102"/>
        <v>0</v>
      </c>
      <c r="J256" s="34">
        <f t="shared" si="102"/>
        <v>31926</v>
      </c>
      <c r="K256" s="34">
        <f t="shared" si="102"/>
        <v>24072</v>
      </c>
    </row>
    <row r="257" spans="1:11" x14ac:dyDescent="0.3">
      <c r="A257" s="325"/>
      <c r="B257" s="326"/>
      <c r="C257" s="36" t="s">
        <v>40</v>
      </c>
      <c r="D257" s="34">
        <f t="shared" ref="D257:K257" si="103">D186+D170+D149+D126+D104+D70+D42</f>
        <v>16415104</v>
      </c>
      <c r="E257" s="34">
        <f t="shared" si="103"/>
        <v>16353704</v>
      </c>
      <c r="F257" s="34">
        <f t="shared" si="103"/>
        <v>-108636</v>
      </c>
      <c r="G257" s="34">
        <f t="shared" si="103"/>
        <v>0</v>
      </c>
      <c r="H257" s="34">
        <f t="shared" si="103"/>
        <v>0</v>
      </c>
      <c r="I257" s="34">
        <f t="shared" si="103"/>
        <v>0</v>
      </c>
      <c r="J257" s="34">
        <f t="shared" si="103"/>
        <v>16245068</v>
      </c>
      <c r="K257" s="34">
        <f t="shared" si="103"/>
        <v>624836</v>
      </c>
    </row>
    <row r="258" spans="1:11" x14ac:dyDescent="0.3">
      <c r="A258" s="325"/>
      <c r="B258" s="326"/>
      <c r="C258" s="33" t="s">
        <v>41</v>
      </c>
      <c r="D258" s="34">
        <f t="shared" ref="D258:K258" si="104">D187+D171+D150+D127+D105+D71+D43+D211</f>
        <v>26876743</v>
      </c>
      <c r="E258" s="34">
        <f t="shared" si="104"/>
        <v>14459819</v>
      </c>
      <c r="F258" s="34">
        <f t="shared" si="104"/>
        <v>108636</v>
      </c>
      <c r="G258" s="34">
        <f t="shared" si="104"/>
        <v>0</v>
      </c>
      <c r="H258" s="34">
        <f t="shared" si="104"/>
        <v>0</v>
      </c>
      <c r="I258" s="34">
        <f t="shared" si="104"/>
        <v>0</v>
      </c>
      <c r="J258" s="34">
        <f t="shared" si="104"/>
        <v>14568455</v>
      </c>
      <c r="K258" s="34">
        <f t="shared" si="104"/>
        <v>7086997</v>
      </c>
    </row>
    <row r="259" spans="1:11" x14ac:dyDescent="0.3">
      <c r="A259" s="325"/>
      <c r="B259" s="326"/>
      <c r="C259" s="35" t="s">
        <v>42</v>
      </c>
      <c r="D259" s="34">
        <f t="shared" ref="D259:K259" si="105">D212+D188+D172+D151+D128+D106+D72+D44</f>
        <v>2852000</v>
      </c>
      <c r="E259" s="34">
        <f t="shared" si="105"/>
        <v>2889440</v>
      </c>
      <c r="F259" s="34">
        <f t="shared" si="105"/>
        <v>0</v>
      </c>
      <c r="G259" s="34">
        <f t="shared" si="105"/>
        <v>0</v>
      </c>
      <c r="H259" s="34">
        <f t="shared" si="105"/>
        <v>0</v>
      </c>
      <c r="I259" s="34">
        <f t="shared" si="105"/>
        <v>0</v>
      </c>
      <c r="J259" s="34">
        <f t="shared" si="105"/>
        <v>2889440</v>
      </c>
      <c r="K259" s="34">
        <f t="shared" si="105"/>
        <v>1317378</v>
      </c>
    </row>
    <row r="260" spans="1:11" x14ac:dyDescent="0.3">
      <c r="A260" s="325"/>
      <c r="B260" s="326"/>
      <c r="C260" s="35" t="s">
        <v>43</v>
      </c>
      <c r="D260" s="34">
        <f t="shared" ref="D260:K260" si="106">D45+D73+D189</f>
        <v>290000</v>
      </c>
      <c r="E260" s="34">
        <f t="shared" si="106"/>
        <v>290000</v>
      </c>
      <c r="F260" s="34">
        <f t="shared" si="106"/>
        <v>0</v>
      </c>
      <c r="G260" s="34">
        <f t="shared" si="106"/>
        <v>0</v>
      </c>
      <c r="H260" s="34">
        <f t="shared" si="106"/>
        <v>0</v>
      </c>
      <c r="I260" s="34">
        <f t="shared" si="106"/>
        <v>0</v>
      </c>
      <c r="J260" s="34">
        <f t="shared" si="106"/>
        <v>290000</v>
      </c>
      <c r="K260" s="34">
        <f t="shared" si="106"/>
        <v>0</v>
      </c>
    </row>
    <row r="261" spans="1:11" x14ac:dyDescent="0.3">
      <c r="A261" s="325"/>
      <c r="B261" s="326"/>
      <c r="C261" s="33" t="s">
        <v>44</v>
      </c>
      <c r="D261" s="34">
        <f t="shared" ref="D261:K261" si="107">D213+D190+D173+D152+D129+D107+D74+D46</f>
        <v>7754652</v>
      </c>
      <c r="E261" s="34">
        <f t="shared" si="107"/>
        <v>5316093</v>
      </c>
      <c r="F261" s="34">
        <f t="shared" si="107"/>
        <v>0</v>
      </c>
      <c r="G261" s="34">
        <f t="shared" si="107"/>
        <v>0</v>
      </c>
      <c r="H261" s="34">
        <f t="shared" si="107"/>
        <v>0</v>
      </c>
      <c r="I261" s="34">
        <f t="shared" si="107"/>
        <v>0</v>
      </c>
      <c r="J261" s="34">
        <f t="shared" si="107"/>
        <v>5316093</v>
      </c>
      <c r="K261" s="34">
        <f t="shared" si="107"/>
        <v>2000428</v>
      </c>
    </row>
    <row r="262" spans="1:11" x14ac:dyDescent="0.3">
      <c r="A262" s="325"/>
      <c r="B262" s="326"/>
      <c r="C262" s="37" t="s">
        <v>45</v>
      </c>
      <c r="D262" s="34">
        <f t="shared" ref="D262:K262" si="108">D214+D191+D75+D47</f>
        <v>743011</v>
      </c>
      <c r="E262" s="34">
        <f t="shared" si="108"/>
        <v>743011</v>
      </c>
      <c r="F262" s="34">
        <f t="shared" si="108"/>
        <v>0</v>
      </c>
      <c r="G262" s="34">
        <f t="shared" si="108"/>
        <v>0</v>
      </c>
      <c r="H262" s="34">
        <f t="shared" si="108"/>
        <v>0</v>
      </c>
      <c r="I262" s="34">
        <f t="shared" si="108"/>
        <v>0</v>
      </c>
      <c r="J262" s="34">
        <f t="shared" si="108"/>
        <v>743011</v>
      </c>
      <c r="K262" s="34">
        <f t="shared" si="108"/>
        <v>301222</v>
      </c>
    </row>
    <row r="263" spans="1:11" x14ac:dyDescent="0.3">
      <c r="A263" s="325"/>
      <c r="B263" s="326"/>
      <c r="C263" s="63" t="s">
        <v>49</v>
      </c>
      <c r="D263" s="64">
        <f t="shared" ref="D263:K263" si="109">D215+D192+D174+D153+D130+D108+D76+D48</f>
        <v>62319790</v>
      </c>
      <c r="E263" s="64">
        <f t="shared" si="109"/>
        <v>47577240</v>
      </c>
      <c r="F263" s="64">
        <f t="shared" si="109"/>
        <v>0</v>
      </c>
      <c r="G263" s="64">
        <f t="shared" si="109"/>
        <v>0</v>
      </c>
      <c r="H263" s="64">
        <f t="shared" si="109"/>
        <v>0</v>
      </c>
      <c r="I263" s="64">
        <f t="shared" si="109"/>
        <v>0</v>
      </c>
      <c r="J263" s="64">
        <f t="shared" si="109"/>
        <v>47577240</v>
      </c>
      <c r="K263" s="64">
        <f t="shared" si="109"/>
        <v>13748942</v>
      </c>
    </row>
    <row r="264" spans="1:11" x14ac:dyDescent="0.3">
      <c r="A264" s="325"/>
      <c r="B264" s="326"/>
      <c r="C264" s="63" t="s">
        <v>100</v>
      </c>
      <c r="D264" s="64">
        <f>D197</f>
        <v>0</v>
      </c>
      <c r="E264" s="64">
        <f t="shared" ref="E264:K264" si="110">E197</f>
        <v>10500000</v>
      </c>
      <c r="F264" s="64">
        <f t="shared" si="110"/>
        <v>0</v>
      </c>
      <c r="G264" s="64">
        <f t="shared" si="110"/>
        <v>0</v>
      </c>
      <c r="H264" s="64">
        <f t="shared" si="110"/>
        <v>0</v>
      </c>
      <c r="I264" s="64">
        <f t="shared" si="110"/>
        <v>0</v>
      </c>
      <c r="J264" s="64">
        <f t="shared" si="110"/>
        <v>10500000</v>
      </c>
      <c r="K264" s="64">
        <f t="shared" si="110"/>
        <v>10500000</v>
      </c>
    </row>
    <row r="265" spans="1:11" x14ac:dyDescent="0.3">
      <c r="A265" s="325"/>
      <c r="B265" s="326"/>
      <c r="C265" s="38" t="s">
        <v>50</v>
      </c>
      <c r="D265" s="34">
        <f t="shared" ref="D265:K267" si="111">D194+D77+D49</f>
        <v>161220</v>
      </c>
      <c r="E265" s="34">
        <f t="shared" si="111"/>
        <v>161220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161220</v>
      </c>
      <c r="K265" s="34">
        <f t="shared" si="111"/>
        <v>0</v>
      </c>
    </row>
    <row r="266" spans="1:11" x14ac:dyDescent="0.3">
      <c r="A266" s="325"/>
      <c r="B266" s="326"/>
      <c r="C266" s="37" t="s">
        <v>51</v>
      </c>
      <c r="D266" s="34">
        <f t="shared" si="111"/>
        <v>43530</v>
      </c>
      <c r="E266" s="34">
        <f t="shared" si="111"/>
        <v>43530</v>
      </c>
      <c r="F266" s="34">
        <f t="shared" si="111"/>
        <v>0</v>
      </c>
      <c r="G266" s="34">
        <f t="shared" si="111"/>
        <v>0</v>
      </c>
      <c r="H266" s="34">
        <f t="shared" si="111"/>
        <v>0</v>
      </c>
      <c r="I266" s="34">
        <f t="shared" si="111"/>
        <v>0</v>
      </c>
      <c r="J266" s="34">
        <f t="shared" si="111"/>
        <v>43530</v>
      </c>
      <c r="K266" s="34">
        <f t="shared" si="111"/>
        <v>0</v>
      </c>
    </row>
    <row r="267" spans="1:11" x14ac:dyDescent="0.3">
      <c r="A267" s="325"/>
      <c r="B267" s="326"/>
      <c r="C267" s="63" t="s">
        <v>52</v>
      </c>
      <c r="D267" s="66">
        <f t="shared" si="111"/>
        <v>204750</v>
      </c>
      <c r="E267" s="66">
        <f t="shared" si="111"/>
        <v>204750</v>
      </c>
      <c r="F267" s="66">
        <f t="shared" si="111"/>
        <v>0</v>
      </c>
      <c r="G267" s="66">
        <f t="shared" si="111"/>
        <v>0</v>
      </c>
      <c r="H267" s="66">
        <f t="shared" si="111"/>
        <v>0</v>
      </c>
      <c r="I267" s="66">
        <f t="shared" si="111"/>
        <v>0</v>
      </c>
      <c r="J267" s="66">
        <f t="shared" si="111"/>
        <v>204750</v>
      </c>
      <c r="K267" s="64">
        <f t="shared" si="111"/>
        <v>0</v>
      </c>
    </row>
    <row r="268" spans="1:11" x14ac:dyDescent="0.3">
      <c r="A268" s="327"/>
      <c r="B268" s="328"/>
      <c r="C268" s="67" t="s">
        <v>88</v>
      </c>
      <c r="D268" s="68">
        <f>D219</f>
        <v>230443641</v>
      </c>
      <c r="E268" s="68">
        <f>E219</f>
        <v>231774916</v>
      </c>
      <c r="F268" s="68">
        <f t="shared" ref="F268:K268" si="112">F219</f>
        <v>0</v>
      </c>
      <c r="G268" s="68">
        <f t="shared" si="112"/>
        <v>0</v>
      </c>
      <c r="H268" s="68">
        <f t="shared" si="112"/>
        <v>0</v>
      </c>
      <c r="I268" s="68">
        <f t="shared" si="112"/>
        <v>86923</v>
      </c>
      <c r="J268" s="68">
        <f t="shared" si="112"/>
        <v>231861839</v>
      </c>
      <c r="K268" s="68">
        <f t="shared" si="112"/>
        <v>157018927</v>
      </c>
    </row>
    <row r="269" spans="1:11" x14ac:dyDescent="0.3">
      <c r="B269" s="5"/>
      <c r="E269" s="4"/>
      <c r="F269" s="4"/>
      <c r="G269" s="4"/>
      <c r="H269" s="4"/>
      <c r="I269" s="4"/>
      <c r="J269" s="4"/>
      <c r="K269" s="107"/>
    </row>
    <row r="270" spans="1:11" x14ac:dyDescent="0.3">
      <c r="B270" s="5"/>
      <c r="E270" s="4"/>
      <c r="F270" s="4"/>
      <c r="G270" s="4"/>
      <c r="H270" s="4"/>
      <c r="I270" s="4"/>
      <c r="J270" s="4"/>
      <c r="K270" s="107"/>
    </row>
  </sheetData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7:B268"/>
    <mergeCell ref="A179:C179"/>
    <mergeCell ref="A180:A197"/>
    <mergeCell ref="B180:B197"/>
    <mergeCell ref="A198:C198"/>
    <mergeCell ref="A199:A215"/>
    <mergeCell ref="B199:B215"/>
    <mergeCell ref="A216:A217"/>
    <mergeCell ref="B216:B217"/>
    <mergeCell ref="A218:C218"/>
    <mergeCell ref="A219:C219"/>
    <mergeCell ref="A226:K226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352"/>
  <sheetViews>
    <sheetView zoomScaleSheetLayoutView="100" workbookViewId="0">
      <pane xSplit="3" ySplit="4" topLeftCell="D332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37.88671875" customWidth="1"/>
    <col min="3" max="3" width="7.6640625" customWidth="1"/>
    <col min="4" max="5" width="13.6640625" customWidth="1"/>
    <col min="6" max="6" width="12.44140625" customWidth="1"/>
    <col min="7" max="9" width="11.6640625" customWidth="1"/>
    <col min="10" max="10" width="10.33203125" bestFit="1" customWidth="1"/>
    <col min="11" max="11" width="13.88671875" bestFit="1" customWidth="1"/>
    <col min="12" max="12" width="16.44140625" style="118" customWidth="1"/>
    <col min="13" max="13" width="13.88671875" customWidth="1"/>
    <col min="14" max="14" width="11.44140625" style="39" bestFit="1" customWidth="1"/>
  </cols>
  <sheetData>
    <row r="1" spans="1:14" ht="21" x14ac:dyDescent="0.3">
      <c r="A1" s="390" t="s">
        <v>0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</row>
    <row r="2" spans="1:14" x14ac:dyDescent="0.3">
      <c r="B2" s="5"/>
      <c r="E2" s="4"/>
      <c r="F2" s="4"/>
      <c r="G2" s="4"/>
      <c r="H2" s="4"/>
      <c r="I2" s="4"/>
      <c r="J2" s="4"/>
      <c r="K2" s="4"/>
      <c r="L2" s="107"/>
    </row>
    <row r="3" spans="1:14" ht="15" customHeight="1" x14ac:dyDescent="0.3">
      <c r="A3" s="391" t="s">
        <v>104</v>
      </c>
      <c r="B3" s="393" t="s">
        <v>105</v>
      </c>
      <c r="C3" s="391" t="s">
        <v>3</v>
      </c>
      <c r="D3" s="391" t="s">
        <v>4</v>
      </c>
      <c r="E3" s="395" t="s">
        <v>119</v>
      </c>
      <c r="F3" s="397" t="s">
        <v>69</v>
      </c>
      <c r="G3" s="398"/>
      <c r="H3" s="398"/>
      <c r="I3" s="398"/>
      <c r="J3" s="399"/>
      <c r="K3" s="395" t="s">
        <v>164</v>
      </c>
      <c r="L3" s="400" t="s">
        <v>161</v>
      </c>
      <c r="M3" s="401" t="s">
        <v>120</v>
      </c>
    </row>
    <row r="4" spans="1:14" ht="40.799999999999997" x14ac:dyDescent="0.3">
      <c r="A4" s="392"/>
      <c r="B4" s="394"/>
      <c r="C4" s="392"/>
      <c r="D4" s="392"/>
      <c r="E4" s="396"/>
      <c r="F4" s="173" t="s">
        <v>70</v>
      </c>
      <c r="G4" s="174" t="s">
        <v>122</v>
      </c>
      <c r="H4" s="174" t="s">
        <v>167</v>
      </c>
      <c r="I4" s="174" t="s">
        <v>168</v>
      </c>
      <c r="J4" s="174" t="s">
        <v>165</v>
      </c>
      <c r="K4" s="396"/>
      <c r="L4" s="400"/>
      <c r="M4" s="401"/>
      <c r="N4" s="186"/>
    </row>
    <row r="5" spans="1:14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v>52737886</v>
      </c>
      <c r="F5" s="3">
        <f>'2019.10.31.'!F5</f>
        <v>0</v>
      </c>
      <c r="G5" s="3"/>
      <c r="H5" s="3"/>
      <c r="I5" s="3"/>
      <c r="J5" s="3">
        <f>'2019.10.31.'!I5</f>
        <v>37372</v>
      </c>
      <c r="K5" s="20">
        <f>E5+F5+G5+I5+J5</f>
        <v>52775258</v>
      </c>
      <c r="L5" s="108">
        <v>39650289</v>
      </c>
      <c r="M5" s="3">
        <f>K5-L5</f>
        <v>13124969</v>
      </c>
    </row>
    <row r="6" spans="1:14" x14ac:dyDescent="0.3">
      <c r="A6" s="285"/>
      <c r="B6" s="261"/>
      <c r="C6" s="2" t="s">
        <v>17</v>
      </c>
      <c r="D6" s="3">
        <v>7273070</v>
      </c>
      <c r="E6" s="3">
        <v>7273070</v>
      </c>
      <c r="F6" s="3">
        <f>'2019.10.31.'!F6</f>
        <v>0</v>
      </c>
      <c r="G6" s="3"/>
      <c r="H6" s="3"/>
      <c r="I6" s="3"/>
      <c r="J6" s="3">
        <f>'2019.10.31.'!I6</f>
        <v>0</v>
      </c>
      <c r="K6" s="20">
        <f t="shared" ref="K6:K23" si="0">E6+F6+G6+I6+J6</f>
        <v>7273070</v>
      </c>
      <c r="L6" s="108">
        <v>7273070</v>
      </c>
      <c r="M6" s="3">
        <f t="shared" ref="M6:M23" si="1">K6-L6</f>
        <v>0</v>
      </c>
    </row>
    <row r="7" spans="1:14" x14ac:dyDescent="0.3">
      <c r="A7" s="285"/>
      <c r="B7" s="261"/>
      <c r="C7" s="2" t="s">
        <v>18</v>
      </c>
      <c r="D7" s="3">
        <v>96985672</v>
      </c>
      <c r="E7" s="3">
        <v>100329672</v>
      </c>
      <c r="F7" s="3">
        <f>'2019.10.31.'!F7</f>
        <v>0</v>
      </c>
      <c r="G7" s="3"/>
      <c r="H7" s="3">
        <v>-420313</v>
      </c>
      <c r="I7" s="3">
        <f>-1071771</f>
        <v>-1071771</v>
      </c>
      <c r="J7" s="3">
        <f>'2019.10.31.'!I7</f>
        <v>0</v>
      </c>
      <c r="K7" s="20">
        <f>E7+F7+G7+I7+J7+H7</f>
        <v>98837588</v>
      </c>
      <c r="L7" s="108">
        <v>77496655</v>
      </c>
      <c r="M7" s="3">
        <f t="shared" si="1"/>
        <v>21340933</v>
      </c>
    </row>
    <row r="8" spans="1:14" x14ac:dyDescent="0.3">
      <c r="A8" s="285"/>
      <c r="B8" s="261"/>
      <c r="C8" s="2" t="s">
        <v>22</v>
      </c>
      <c r="D8" s="3">
        <v>200000</v>
      </c>
      <c r="E8" s="3">
        <v>200000</v>
      </c>
      <c r="F8" s="3">
        <f>'2019.10.31.'!F8</f>
        <v>0</v>
      </c>
      <c r="G8" s="3"/>
      <c r="H8" s="3"/>
      <c r="I8" s="3"/>
      <c r="J8" s="3">
        <f>'2019.10.31.'!I8</f>
        <v>0</v>
      </c>
      <c r="K8" s="20">
        <f t="shared" si="0"/>
        <v>200000</v>
      </c>
      <c r="L8" s="108">
        <v>0</v>
      </c>
      <c r="M8" s="3">
        <f t="shared" si="1"/>
        <v>200000</v>
      </c>
    </row>
    <row r="9" spans="1:14" x14ac:dyDescent="0.3">
      <c r="A9" s="285"/>
      <c r="B9" s="261" t="s">
        <v>23</v>
      </c>
      <c r="C9" s="2" t="s">
        <v>19</v>
      </c>
      <c r="D9" s="3">
        <v>13200</v>
      </c>
      <c r="E9" s="3">
        <v>31926</v>
      </c>
      <c r="F9" s="3">
        <f>'2019.10.31.'!F9</f>
        <v>0</v>
      </c>
      <c r="G9" s="3"/>
      <c r="H9" s="3"/>
      <c r="I9" s="3"/>
      <c r="J9" s="3">
        <f>'2019.10.31.'!I9</f>
        <v>0</v>
      </c>
      <c r="K9" s="20">
        <f t="shared" si="0"/>
        <v>31926</v>
      </c>
      <c r="L9" s="108">
        <v>24072</v>
      </c>
      <c r="M9" s="3">
        <f t="shared" si="1"/>
        <v>7854</v>
      </c>
    </row>
    <row r="10" spans="1:14" x14ac:dyDescent="0.3">
      <c r="A10" s="285"/>
      <c r="B10" s="261"/>
      <c r="C10" s="2" t="s">
        <v>20</v>
      </c>
      <c r="D10" s="3">
        <v>500</v>
      </c>
      <c r="E10" s="3">
        <v>1152</v>
      </c>
      <c r="F10" s="3">
        <f>'2019.10.31.'!F10</f>
        <v>0</v>
      </c>
      <c r="G10" s="3"/>
      <c r="H10" s="3"/>
      <c r="I10" s="3"/>
      <c r="J10" s="3">
        <f>'2019.10.31.'!I10</f>
        <v>0</v>
      </c>
      <c r="K10" s="20">
        <f t="shared" si="0"/>
        <v>1152</v>
      </c>
      <c r="L10" s="108">
        <v>162</v>
      </c>
      <c r="M10" s="3">
        <f t="shared" si="1"/>
        <v>990</v>
      </c>
    </row>
    <row r="11" spans="1:14" x14ac:dyDescent="0.3">
      <c r="A11" s="285"/>
      <c r="B11" s="261"/>
      <c r="C11" s="2" t="s">
        <v>84</v>
      </c>
      <c r="D11" s="3">
        <v>0</v>
      </c>
      <c r="E11" s="3">
        <v>12948</v>
      </c>
      <c r="F11" s="3">
        <f>'2019.10.31.'!F11-1261</f>
        <v>-1261</v>
      </c>
      <c r="G11" s="3"/>
      <c r="H11" s="3"/>
      <c r="I11" s="3"/>
      <c r="J11" s="3">
        <f>'2019.10.31.'!I11</f>
        <v>0</v>
      </c>
      <c r="K11" s="20">
        <f t="shared" si="0"/>
        <v>11687</v>
      </c>
      <c r="L11" s="108">
        <v>4486</v>
      </c>
      <c r="M11" s="3">
        <f t="shared" si="1"/>
        <v>7201</v>
      </c>
    </row>
    <row r="12" spans="1:14" x14ac:dyDescent="0.3">
      <c r="A12" s="285"/>
      <c r="B12" s="264">
        <v>104043</v>
      </c>
      <c r="C12" s="2" t="s">
        <v>20</v>
      </c>
      <c r="D12" s="3">
        <v>500</v>
      </c>
      <c r="E12" s="3">
        <v>173</v>
      </c>
      <c r="F12" s="3">
        <f>'2019.10.31.'!F12</f>
        <v>0</v>
      </c>
      <c r="G12" s="3"/>
      <c r="H12" s="3"/>
      <c r="I12" s="3"/>
      <c r="J12" s="3">
        <f>'2019.10.31.'!I12</f>
        <v>0</v>
      </c>
      <c r="K12" s="20">
        <f t="shared" si="0"/>
        <v>173</v>
      </c>
      <c r="L12" s="108">
        <v>163</v>
      </c>
      <c r="M12" s="3">
        <f t="shared" si="1"/>
        <v>10</v>
      </c>
    </row>
    <row r="13" spans="1:14" x14ac:dyDescent="0.3">
      <c r="A13" s="263"/>
      <c r="B13" s="265"/>
      <c r="C13" s="2" t="s">
        <v>84</v>
      </c>
      <c r="D13" s="3">
        <v>0</v>
      </c>
      <c r="E13" s="3">
        <v>1</v>
      </c>
      <c r="F13" s="3">
        <f>'2019.10.31.'!F13+1261</f>
        <v>1261</v>
      </c>
      <c r="G13" s="3"/>
      <c r="H13" s="3"/>
      <c r="I13" s="3"/>
      <c r="J13" s="3">
        <f>'2019.10.31.'!I13</f>
        <v>0</v>
      </c>
      <c r="K13" s="20">
        <f t="shared" si="0"/>
        <v>1262</v>
      </c>
      <c r="L13" s="108">
        <v>1</v>
      </c>
      <c r="M13" s="3">
        <f t="shared" si="1"/>
        <v>1261</v>
      </c>
    </row>
    <row r="14" spans="1:14" x14ac:dyDescent="0.3">
      <c r="A14" s="254" t="s">
        <v>7</v>
      </c>
      <c r="B14" s="261" t="s">
        <v>21</v>
      </c>
      <c r="C14" s="2" t="s">
        <v>16</v>
      </c>
      <c r="D14" s="3">
        <v>245982</v>
      </c>
      <c r="E14" s="3">
        <v>245982</v>
      </c>
      <c r="F14" s="3">
        <f>'2019.10.31.'!F14</f>
        <v>0</v>
      </c>
      <c r="G14" s="3"/>
      <c r="H14" s="3"/>
      <c r="I14" s="3"/>
      <c r="J14" s="3">
        <f>'2019.10.31.'!I14</f>
        <v>21826</v>
      </c>
      <c r="K14" s="20">
        <f t="shared" si="0"/>
        <v>267808</v>
      </c>
      <c r="L14" s="108">
        <v>206315</v>
      </c>
      <c r="M14" s="3">
        <f t="shared" si="1"/>
        <v>61493</v>
      </c>
    </row>
    <row r="15" spans="1:14" x14ac:dyDescent="0.3">
      <c r="A15" s="254"/>
      <c r="B15" s="261"/>
      <c r="C15" s="2" t="s">
        <v>17</v>
      </c>
      <c r="D15" s="3">
        <v>1005557</v>
      </c>
      <c r="E15" s="3">
        <v>1005557</v>
      </c>
      <c r="F15" s="3">
        <f>'2019.10.31.'!F15</f>
        <v>0</v>
      </c>
      <c r="G15" s="3"/>
      <c r="H15" s="3"/>
      <c r="I15" s="3"/>
      <c r="J15" s="3">
        <f>'2019.10.31.'!I15</f>
        <v>0</v>
      </c>
      <c r="K15" s="20">
        <f t="shared" si="0"/>
        <v>1005557</v>
      </c>
      <c r="L15" s="108">
        <v>1005557</v>
      </c>
      <c r="M15" s="3">
        <f t="shared" si="1"/>
        <v>0</v>
      </c>
    </row>
    <row r="16" spans="1:14" x14ac:dyDescent="0.3">
      <c r="A16" s="254" t="s">
        <v>8</v>
      </c>
      <c r="B16" s="261" t="s">
        <v>21</v>
      </c>
      <c r="C16" s="2" t="s">
        <v>16</v>
      </c>
      <c r="D16" s="3">
        <v>3086953</v>
      </c>
      <c r="E16" s="3">
        <v>3103704</v>
      </c>
      <c r="F16" s="3">
        <f>'2019.10.31.'!F16</f>
        <v>0</v>
      </c>
      <c r="G16" s="3"/>
      <c r="H16" s="3"/>
      <c r="I16" s="3"/>
      <c r="J16" s="3">
        <f>'2019.10.31.'!I16</f>
        <v>16468</v>
      </c>
      <c r="K16" s="20">
        <f t="shared" si="0"/>
        <v>3120172</v>
      </c>
      <c r="L16" s="108">
        <v>2348434</v>
      </c>
      <c r="M16" s="3">
        <f t="shared" si="1"/>
        <v>771738</v>
      </c>
    </row>
    <row r="17" spans="1:13" x14ac:dyDescent="0.3">
      <c r="A17" s="254"/>
      <c r="B17" s="261"/>
      <c r="C17" s="2" t="s">
        <v>17</v>
      </c>
      <c r="D17" s="3">
        <v>440959</v>
      </c>
      <c r="E17" s="3">
        <v>440959</v>
      </c>
      <c r="F17" s="3">
        <f>'2019.10.31.'!F17</f>
        <v>0</v>
      </c>
      <c r="G17" s="3"/>
      <c r="H17" s="3"/>
      <c r="I17" s="3"/>
      <c r="J17" s="3">
        <f>'2019.10.31.'!I17</f>
        <v>0</v>
      </c>
      <c r="K17" s="20">
        <f t="shared" si="0"/>
        <v>440959</v>
      </c>
      <c r="L17" s="108">
        <v>440959</v>
      </c>
      <c r="M17" s="3">
        <f t="shared" si="1"/>
        <v>0</v>
      </c>
    </row>
    <row r="18" spans="1:13" x14ac:dyDescent="0.3">
      <c r="A18" s="254" t="s">
        <v>9</v>
      </c>
      <c r="B18" s="261" t="s">
        <v>21</v>
      </c>
      <c r="C18" s="2" t="s">
        <v>16</v>
      </c>
      <c r="D18" s="3">
        <v>1403439</v>
      </c>
      <c r="E18" s="3">
        <v>1414887</v>
      </c>
      <c r="F18" s="3">
        <f>'2019.10.31.'!F18</f>
        <v>0</v>
      </c>
      <c r="G18" s="3"/>
      <c r="H18" s="3"/>
      <c r="I18" s="3"/>
      <c r="J18" s="3">
        <f>'2019.10.31.'!I18</f>
        <v>11257</v>
      </c>
      <c r="K18" s="20">
        <f t="shared" si="0"/>
        <v>1426144</v>
      </c>
      <c r="L18" s="108">
        <v>1075285</v>
      </c>
      <c r="M18" s="3">
        <f t="shared" si="1"/>
        <v>350859</v>
      </c>
    </row>
    <row r="19" spans="1:13" x14ac:dyDescent="0.3">
      <c r="A19" s="254"/>
      <c r="B19" s="261"/>
      <c r="C19" s="2" t="s">
        <v>17</v>
      </c>
      <c r="D19" s="3">
        <v>599759</v>
      </c>
      <c r="E19" s="3">
        <v>599759</v>
      </c>
      <c r="F19" s="3">
        <f>'2019.10.31.'!F19</f>
        <v>0</v>
      </c>
      <c r="G19" s="3"/>
      <c r="H19" s="3"/>
      <c r="I19" s="3"/>
      <c r="J19" s="3">
        <f>'2019.10.31.'!I19</f>
        <v>0</v>
      </c>
      <c r="K19" s="20">
        <f t="shared" si="0"/>
        <v>599759</v>
      </c>
      <c r="L19" s="108">
        <v>599759</v>
      </c>
      <c r="M19" s="3">
        <f t="shared" si="1"/>
        <v>0</v>
      </c>
    </row>
    <row r="20" spans="1:13" x14ac:dyDescent="0.3">
      <c r="A20" s="262" t="s">
        <v>54</v>
      </c>
      <c r="B20" s="264" t="s">
        <v>21</v>
      </c>
      <c r="C20" s="2" t="s">
        <v>16</v>
      </c>
      <c r="D20" s="3">
        <v>4056383</v>
      </c>
      <c r="E20" s="3">
        <v>4056383</v>
      </c>
      <c r="F20" s="3">
        <f>'2019.10.31.'!F20</f>
        <v>0</v>
      </c>
      <c r="G20" s="3"/>
      <c r="H20" s="3"/>
      <c r="I20" s="3"/>
      <c r="J20" s="3">
        <f>'2019.10.31.'!I20</f>
        <v>0</v>
      </c>
      <c r="K20" s="20">
        <f t="shared" si="0"/>
        <v>4056383</v>
      </c>
      <c r="L20" s="108">
        <v>3042287</v>
      </c>
      <c r="M20" s="3">
        <f t="shared" si="1"/>
        <v>1014096</v>
      </c>
    </row>
    <row r="21" spans="1:13" x14ac:dyDescent="0.3">
      <c r="A21" s="263"/>
      <c r="B21" s="265"/>
      <c r="C21" s="2" t="s">
        <v>17</v>
      </c>
      <c r="D21" s="3">
        <v>226299</v>
      </c>
      <c r="E21" s="3">
        <v>226299</v>
      </c>
      <c r="F21" s="3">
        <f>'2019.10.31.'!F21</f>
        <v>0</v>
      </c>
      <c r="G21" s="3"/>
      <c r="H21" s="3"/>
      <c r="I21" s="3"/>
      <c r="J21" s="3">
        <f>'2019.10.31.'!I21</f>
        <v>0</v>
      </c>
      <c r="K21" s="20">
        <f t="shared" si="0"/>
        <v>226299</v>
      </c>
      <c r="L21" s="108">
        <v>226299</v>
      </c>
      <c r="M21" s="3">
        <f t="shared" si="1"/>
        <v>0</v>
      </c>
    </row>
    <row r="22" spans="1:13" x14ac:dyDescent="0.3">
      <c r="A22" s="254" t="s">
        <v>10</v>
      </c>
      <c r="B22" s="261" t="s">
        <v>21</v>
      </c>
      <c r="C22" s="2" t="s">
        <v>16</v>
      </c>
      <c r="D22" s="3">
        <v>53627392</v>
      </c>
      <c r="E22" s="3">
        <v>53627392</v>
      </c>
      <c r="F22" s="3">
        <f>'2019.10.31.'!F22</f>
        <v>0</v>
      </c>
      <c r="G22" s="3"/>
      <c r="H22" s="3"/>
      <c r="I22" s="3"/>
      <c r="J22" s="3">
        <f>'2019.10.31.'!I22</f>
        <v>0</v>
      </c>
      <c r="K22" s="20">
        <f t="shared" si="0"/>
        <v>53627392</v>
      </c>
      <c r="L22" s="108">
        <v>21324032</v>
      </c>
      <c r="M22" s="3">
        <f t="shared" si="1"/>
        <v>32303360</v>
      </c>
    </row>
    <row r="23" spans="1:13" x14ac:dyDescent="0.3">
      <c r="A23" s="254"/>
      <c r="B23" s="261"/>
      <c r="C23" s="2" t="s">
        <v>17</v>
      </c>
      <c r="D23" s="3">
        <v>6467166</v>
      </c>
      <c r="E23" s="3">
        <v>6467166</v>
      </c>
      <c r="F23" s="3">
        <f>'2019.10.31.'!F23</f>
        <v>0</v>
      </c>
      <c r="G23" s="3"/>
      <c r="H23" s="3"/>
      <c r="I23" s="3"/>
      <c r="J23" s="3">
        <f>'2019.10.31.'!I23</f>
        <v>0</v>
      </c>
      <c r="K23" s="20">
        <f t="shared" si="0"/>
        <v>6467166</v>
      </c>
      <c r="L23" s="108">
        <v>6467166</v>
      </c>
      <c r="M23" s="3">
        <f t="shared" si="1"/>
        <v>0</v>
      </c>
    </row>
    <row r="24" spans="1:13" ht="30" customHeight="1" x14ac:dyDescent="0.3">
      <c r="A24" s="387" t="s">
        <v>73</v>
      </c>
      <c r="B24" s="388"/>
      <c r="C24" s="389"/>
      <c r="D24" s="175">
        <f t="shared" ref="D24:M24" si="2">SUM(D5:D23)</f>
        <v>230443641</v>
      </c>
      <c r="E24" s="175">
        <f t="shared" si="2"/>
        <v>231774916</v>
      </c>
      <c r="F24" s="175">
        <f t="shared" si="2"/>
        <v>0</v>
      </c>
      <c r="G24" s="175">
        <f t="shared" si="2"/>
        <v>0</v>
      </c>
      <c r="H24" s="175">
        <f t="shared" si="2"/>
        <v>-420313</v>
      </c>
      <c r="I24" s="175">
        <f t="shared" si="2"/>
        <v>-1071771</v>
      </c>
      <c r="J24" s="175">
        <f t="shared" si="2"/>
        <v>86923</v>
      </c>
      <c r="K24" s="175">
        <f>SUM(K5:K23)</f>
        <v>230369755</v>
      </c>
      <c r="L24" s="176">
        <f t="shared" si="2"/>
        <v>161184991</v>
      </c>
      <c r="M24" s="175">
        <f t="shared" si="2"/>
        <v>69184764</v>
      </c>
    </row>
    <row r="25" spans="1:13" x14ac:dyDescent="0.3">
      <c r="A25" s="254" t="s">
        <v>11</v>
      </c>
      <c r="B25" s="264" t="s">
        <v>23</v>
      </c>
      <c r="C25" s="2" t="s">
        <v>24</v>
      </c>
      <c r="D25" s="3">
        <v>35883092</v>
      </c>
      <c r="E25" s="3">
        <v>35438980</v>
      </c>
      <c r="F25" s="3">
        <f>'2019.10.31.'!F25</f>
        <v>0</v>
      </c>
      <c r="G25" s="3"/>
      <c r="H25" s="3"/>
      <c r="I25" s="3"/>
      <c r="J25" s="3">
        <f>'2019.10.31.'!I25</f>
        <v>0</v>
      </c>
      <c r="K25" s="20">
        <f t="shared" ref="K25:K31" si="3">E25+F25+G25+I25+J25</f>
        <v>35438980</v>
      </c>
      <c r="L25" s="108">
        <v>27174704</v>
      </c>
      <c r="M25" s="3">
        <f t="shared" ref="M25:M31" si="4">K25-L25</f>
        <v>8264276</v>
      </c>
    </row>
    <row r="26" spans="1:13" x14ac:dyDescent="0.3">
      <c r="A26" s="254"/>
      <c r="B26" s="268"/>
      <c r="C26" s="2" t="s">
        <v>25</v>
      </c>
      <c r="D26" s="3">
        <v>1542000</v>
      </c>
      <c r="E26" s="3">
        <v>1542000</v>
      </c>
      <c r="F26" s="3">
        <f>'2019.10.31.'!F26</f>
        <v>0</v>
      </c>
      <c r="G26" s="3"/>
      <c r="H26" s="3"/>
      <c r="I26" s="3"/>
      <c r="J26" s="3">
        <f>'2019.10.31.'!I26</f>
        <v>0</v>
      </c>
      <c r="K26" s="20">
        <f t="shared" si="3"/>
        <v>1542000</v>
      </c>
      <c r="L26" s="108">
        <v>1425000</v>
      </c>
      <c r="M26" s="3">
        <f t="shared" si="4"/>
        <v>117000</v>
      </c>
    </row>
    <row r="27" spans="1:13" x14ac:dyDescent="0.3">
      <c r="A27" s="254"/>
      <c r="B27" s="268"/>
      <c r="C27" s="2" t="s">
        <v>26</v>
      </c>
      <c r="D27" s="3">
        <v>80000</v>
      </c>
      <c r="E27" s="3">
        <v>80000</v>
      </c>
      <c r="F27" s="3">
        <f>'2019.10.31.'!F27</f>
        <v>0</v>
      </c>
      <c r="G27" s="3"/>
      <c r="H27" s="3"/>
      <c r="I27" s="3"/>
      <c r="J27" s="3">
        <f>'2019.10.31.'!I27</f>
        <v>0</v>
      </c>
      <c r="K27" s="20">
        <f t="shared" si="3"/>
        <v>80000</v>
      </c>
      <c r="L27" s="108">
        <v>0</v>
      </c>
      <c r="M27" s="3">
        <f t="shared" si="4"/>
        <v>80000</v>
      </c>
    </row>
    <row r="28" spans="1:13" x14ac:dyDescent="0.3">
      <c r="A28" s="254"/>
      <c r="B28" s="268"/>
      <c r="C28" s="2" t="s">
        <v>27</v>
      </c>
      <c r="D28" s="3">
        <v>893400</v>
      </c>
      <c r="E28" s="3">
        <v>887586</v>
      </c>
      <c r="F28" s="3">
        <f>'2019.10.31.'!F28</f>
        <v>0</v>
      </c>
      <c r="G28" s="3"/>
      <c r="H28" s="3"/>
      <c r="I28" s="3"/>
      <c r="J28" s="3">
        <f>'2019.10.31.'!I28</f>
        <v>0</v>
      </c>
      <c r="K28" s="20">
        <f t="shared" si="3"/>
        <v>887586</v>
      </c>
      <c r="L28" s="108">
        <v>566364</v>
      </c>
      <c r="M28" s="3">
        <f t="shared" si="4"/>
        <v>321222</v>
      </c>
    </row>
    <row r="29" spans="1:13" x14ac:dyDescent="0.3">
      <c r="A29" s="254"/>
      <c r="B29" s="268"/>
      <c r="C29" s="2" t="s">
        <v>28</v>
      </c>
      <c r="D29" s="3">
        <v>190000</v>
      </c>
      <c r="E29" s="3">
        <v>190000</v>
      </c>
      <c r="F29" s="3">
        <f>'2019.10.31.'!F29</f>
        <v>0</v>
      </c>
      <c r="G29" s="3"/>
      <c r="H29" s="3"/>
      <c r="I29" s="3"/>
      <c r="J29" s="3">
        <f>'2019.10.31.'!I29</f>
        <v>0</v>
      </c>
      <c r="K29" s="20">
        <f t="shared" si="3"/>
        <v>190000</v>
      </c>
      <c r="L29" s="108">
        <v>93000</v>
      </c>
      <c r="M29" s="3">
        <f t="shared" si="4"/>
        <v>97000</v>
      </c>
    </row>
    <row r="30" spans="1:13" x14ac:dyDescent="0.3">
      <c r="A30" s="254"/>
      <c r="B30" s="268"/>
      <c r="C30" s="2" t="s">
        <v>29</v>
      </c>
      <c r="D30" s="3">
        <v>1086500</v>
      </c>
      <c r="E30" s="3">
        <v>1484179</v>
      </c>
      <c r="F30" s="3">
        <f>'2019.10.31.'!F30</f>
        <v>-69236</v>
      </c>
      <c r="G30" s="3"/>
      <c r="H30" s="3"/>
      <c r="I30" s="3"/>
      <c r="J30" s="3">
        <f>'2019.10.31.'!I30</f>
        <v>0</v>
      </c>
      <c r="K30" s="20">
        <f t="shared" si="3"/>
        <v>1414943</v>
      </c>
      <c r="L30" s="108">
        <v>703331</v>
      </c>
      <c r="M30" s="3">
        <f t="shared" si="4"/>
        <v>711612</v>
      </c>
    </row>
    <row r="31" spans="1:13" x14ac:dyDescent="0.3">
      <c r="A31" s="254"/>
      <c r="B31" s="268"/>
      <c r="C31" s="2" t="s">
        <v>30</v>
      </c>
      <c r="D31" s="3">
        <v>100000</v>
      </c>
      <c r="E31" s="3">
        <v>100000</v>
      </c>
      <c r="F31" s="3">
        <f>'2019.10.31.'!F31</f>
        <v>0</v>
      </c>
      <c r="G31" s="3"/>
      <c r="H31" s="3"/>
      <c r="I31" s="3"/>
      <c r="J31" s="3">
        <f>'2019.10.31.'!I31</f>
        <v>0</v>
      </c>
      <c r="K31" s="20">
        <f t="shared" si="3"/>
        <v>100000</v>
      </c>
      <c r="L31" s="108">
        <v>19652</v>
      </c>
      <c r="M31" s="3">
        <f t="shared" si="4"/>
        <v>80348</v>
      </c>
    </row>
    <row r="32" spans="1:13" x14ac:dyDescent="0.3">
      <c r="A32" s="254"/>
      <c r="B32" s="268"/>
      <c r="C32" s="6" t="s">
        <v>53</v>
      </c>
      <c r="D32" s="7">
        <f>SUM(D25:D31)</f>
        <v>39774992</v>
      </c>
      <c r="E32" s="7">
        <f t="shared" ref="E32:M32" si="5">SUM(E25:E31)</f>
        <v>39722745</v>
      </c>
      <c r="F32" s="7">
        <f t="shared" si="5"/>
        <v>-69236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0</v>
      </c>
      <c r="K32" s="7">
        <f t="shared" si="5"/>
        <v>39653509</v>
      </c>
      <c r="L32" s="110">
        <f t="shared" si="5"/>
        <v>29982051</v>
      </c>
      <c r="M32" s="7">
        <f t="shared" si="5"/>
        <v>9671458</v>
      </c>
    </row>
    <row r="33" spans="1:13" x14ac:dyDescent="0.3">
      <c r="A33" s="254"/>
      <c r="B33" s="268"/>
      <c r="C33" s="82" t="s">
        <v>31</v>
      </c>
      <c r="D33" s="83">
        <v>7793417</v>
      </c>
      <c r="E33" s="83">
        <v>7795732</v>
      </c>
      <c r="F33" s="85">
        <f>'2019.10.31.'!F33</f>
        <v>0</v>
      </c>
      <c r="G33" s="85"/>
      <c r="H33" s="85"/>
      <c r="I33" s="85"/>
      <c r="J33" s="85">
        <f>'2019.10.31.'!I33</f>
        <v>0</v>
      </c>
      <c r="K33" s="84">
        <f t="shared" ref="K33:K47" si="6">E33+F33+G33+I33+J33</f>
        <v>7795732</v>
      </c>
      <c r="L33" s="111">
        <v>6110791</v>
      </c>
      <c r="M33" s="85">
        <f t="shared" ref="M33:M47" si="7">K33-L33</f>
        <v>1684941</v>
      </c>
    </row>
    <row r="34" spans="1:13" x14ac:dyDescent="0.3">
      <c r="A34" s="254"/>
      <c r="B34" s="268"/>
      <c r="C34" s="2" t="s">
        <v>32</v>
      </c>
      <c r="D34" s="3">
        <v>105000</v>
      </c>
      <c r="E34" s="3">
        <v>115000</v>
      </c>
      <c r="F34" s="3">
        <f>'2019.10.31.'!F34</f>
        <v>0</v>
      </c>
      <c r="G34" s="3"/>
      <c r="H34" s="3"/>
      <c r="I34" s="3"/>
      <c r="J34" s="3">
        <f>'2019.10.31.'!I34</f>
        <v>0</v>
      </c>
      <c r="K34" s="20">
        <f t="shared" si="6"/>
        <v>115000</v>
      </c>
      <c r="L34" s="108">
        <v>24818</v>
      </c>
      <c r="M34" s="3">
        <f t="shared" si="7"/>
        <v>90182</v>
      </c>
    </row>
    <row r="35" spans="1:13" x14ac:dyDescent="0.3">
      <c r="A35" s="254"/>
      <c r="B35" s="268"/>
      <c r="C35" s="2" t="s">
        <v>33</v>
      </c>
      <c r="D35" s="3">
        <v>500000</v>
      </c>
      <c r="E35" s="3">
        <v>500000</v>
      </c>
      <c r="F35" s="3">
        <f>'2019.10.31.'!F35</f>
        <v>0</v>
      </c>
      <c r="G35" s="3"/>
      <c r="H35" s="3"/>
      <c r="I35" s="3"/>
      <c r="J35" s="3">
        <f>'2019.10.31.'!I35</f>
        <v>0</v>
      </c>
      <c r="K35" s="20">
        <f t="shared" si="6"/>
        <v>500000</v>
      </c>
      <c r="L35" s="108">
        <v>1922</v>
      </c>
      <c r="M35" s="3">
        <f t="shared" si="7"/>
        <v>498078</v>
      </c>
    </row>
    <row r="36" spans="1:13" x14ac:dyDescent="0.3">
      <c r="A36" s="254"/>
      <c r="B36" s="268"/>
      <c r="C36" s="2" t="s">
        <v>34</v>
      </c>
      <c r="D36" s="3">
        <v>213000</v>
      </c>
      <c r="E36" s="3">
        <v>213000</v>
      </c>
      <c r="F36" s="3">
        <f>'2019.10.31.'!F36</f>
        <v>0</v>
      </c>
      <c r="G36" s="3"/>
      <c r="H36" s="3"/>
      <c r="I36" s="3"/>
      <c r="J36" s="3">
        <f>'2019.10.31.'!I36</f>
        <v>0</v>
      </c>
      <c r="K36" s="20">
        <f t="shared" si="6"/>
        <v>213000</v>
      </c>
      <c r="L36" s="108">
        <v>95487</v>
      </c>
      <c r="M36" s="3">
        <f t="shared" si="7"/>
        <v>117513</v>
      </c>
    </row>
    <row r="37" spans="1:13" x14ac:dyDescent="0.3">
      <c r="A37" s="254"/>
      <c r="B37" s="268"/>
      <c r="C37" s="2" t="s">
        <v>35</v>
      </c>
      <c r="D37" s="3">
        <v>162000</v>
      </c>
      <c r="E37" s="3">
        <v>162000</v>
      </c>
      <c r="F37" s="3">
        <f>'2019.10.31.'!F37</f>
        <v>0</v>
      </c>
      <c r="G37" s="3"/>
      <c r="H37" s="3"/>
      <c r="I37" s="3"/>
      <c r="J37" s="3">
        <f>'2019.10.31.'!I37</f>
        <v>0</v>
      </c>
      <c r="K37" s="20">
        <f t="shared" si="6"/>
        <v>162000</v>
      </c>
      <c r="L37" s="108">
        <v>56715</v>
      </c>
      <c r="M37" s="3">
        <f t="shared" si="7"/>
        <v>105285</v>
      </c>
    </row>
    <row r="38" spans="1:13" x14ac:dyDescent="0.3">
      <c r="A38" s="254"/>
      <c r="B38" s="268"/>
      <c r="C38" s="2" t="s">
        <v>36</v>
      </c>
      <c r="D38" s="3">
        <v>569540</v>
      </c>
      <c r="E38" s="3">
        <v>569540</v>
      </c>
      <c r="F38" s="3">
        <f>'2019.10.31.'!F38</f>
        <v>0</v>
      </c>
      <c r="G38" s="3"/>
      <c r="H38" s="3"/>
      <c r="I38" s="3"/>
      <c r="J38" s="3">
        <f>'2019.10.31.'!I38</f>
        <v>0</v>
      </c>
      <c r="K38" s="20">
        <f t="shared" si="6"/>
        <v>569540</v>
      </c>
      <c r="L38" s="108">
        <v>388149</v>
      </c>
      <c r="M38" s="3">
        <f t="shared" si="7"/>
        <v>181391</v>
      </c>
    </row>
    <row r="39" spans="1:13" x14ac:dyDescent="0.3">
      <c r="A39" s="254"/>
      <c r="B39" s="268"/>
      <c r="C39" s="2" t="s">
        <v>37</v>
      </c>
      <c r="D39" s="3">
        <v>3000</v>
      </c>
      <c r="E39" s="3">
        <v>3000</v>
      </c>
      <c r="F39" s="3">
        <f>'2019.10.31.'!F39</f>
        <v>0</v>
      </c>
      <c r="G39" s="3"/>
      <c r="H39" s="3"/>
      <c r="I39" s="3"/>
      <c r="J39" s="3">
        <f>'2019.10.31.'!I39</f>
        <v>0</v>
      </c>
      <c r="K39" s="20">
        <f t="shared" si="6"/>
        <v>3000</v>
      </c>
      <c r="L39" s="108">
        <v>0</v>
      </c>
      <c r="M39" s="3">
        <f t="shared" si="7"/>
        <v>3000</v>
      </c>
    </row>
    <row r="40" spans="1:13" x14ac:dyDescent="0.3">
      <c r="A40" s="254"/>
      <c r="B40" s="268"/>
      <c r="C40" s="2" t="s">
        <v>38</v>
      </c>
      <c r="D40" s="3">
        <v>460000</v>
      </c>
      <c r="E40" s="3">
        <v>456500</v>
      </c>
      <c r="F40" s="3">
        <f>'2019.10.31.'!F40</f>
        <v>0</v>
      </c>
      <c r="G40" s="3"/>
      <c r="H40" s="3"/>
      <c r="I40" s="3"/>
      <c r="J40" s="3">
        <f>'2019.10.31.'!I40</f>
        <v>0</v>
      </c>
      <c r="K40" s="20">
        <f t="shared" si="6"/>
        <v>456500</v>
      </c>
      <c r="L40" s="108">
        <v>189040</v>
      </c>
      <c r="M40" s="3">
        <f t="shared" si="7"/>
        <v>267460</v>
      </c>
    </row>
    <row r="41" spans="1:13" x14ac:dyDescent="0.3">
      <c r="A41" s="254"/>
      <c r="B41" s="268"/>
      <c r="C41" s="2" t="s">
        <v>39</v>
      </c>
      <c r="D41" s="3">
        <v>13200</v>
      </c>
      <c r="E41" s="3">
        <v>31926</v>
      </c>
      <c r="F41" s="3">
        <f>'2019.10.31.'!F41</f>
        <v>0</v>
      </c>
      <c r="G41" s="3"/>
      <c r="H41" s="3"/>
      <c r="I41" s="3"/>
      <c r="J41" s="3">
        <f>'2019.10.31.'!I41</f>
        <v>0</v>
      </c>
      <c r="K41" s="20">
        <f t="shared" si="6"/>
        <v>31926</v>
      </c>
      <c r="L41" s="108">
        <v>24072</v>
      </c>
      <c r="M41" s="3">
        <f t="shared" si="7"/>
        <v>7854</v>
      </c>
    </row>
    <row r="42" spans="1:13" x14ac:dyDescent="0.3">
      <c r="A42" s="254"/>
      <c r="B42" s="268"/>
      <c r="C42" s="2" t="s">
        <v>40</v>
      </c>
      <c r="D42" s="3">
        <v>137800</v>
      </c>
      <c r="E42" s="3">
        <v>62800</v>
      </c>
      <c r="F42" s="3">
        <f>'2019.10.31.'!F42</f>
        <v>0</v>
      </c>
      <c r="G42" s="3"/>
      <c r="H42" s="3"/>
      <c r="I42" s="3"/>
      <c r="J42" s="3">
        <f>'2019.10.31.'!I42</f>
        <v>0</v>
      </c>
      <c r="K42" s="20">
        <f t="shared" si="6"/>
        <v>62800</v>
      </c>
      <c r="L42" s="108">
        <v>53500</v>
      </c>
      <c r="M42" s="3">
        <f t="shared" si="7"/>
        <v>9300</v>
      </c>
    </row>
    <row r="43" spans="1:13" x14ac:dyDescent="0.3">
      <c r="A43" s="254"/>
      <c r="B43" s="268"/>
      <c r="C43" s="2" t="s">
        <v>41</v>
      </c>
      <c r="D43" s="3">
        <v>582236</v>
      </c>
      <c r="E43" s="3">
        <v>578510</v>
      </c>
      <c r="F43" s="3">
        <f>'2019.10.31.'!F43+30000</f>
        <v>30000</v>
      </c>
      <c r="G43" s="3"/>
      <c r="H43" s="3"/>
      <c r="I43" s="3"/>
      <c r="J43" s="3">
        <f>'2019.10.31.'!I43</f>
        <v>0</v>
      </c>
      <c r="K43" s="20">
        <f t="shared" si="6"/>
        <v>608510</v>
      </c>
      <c r="L43" s="108">
        <v>503727</v>
      </c>
      <c r="M43" s="3">
        <f t="shared" si="7"/>
        <v>104783</v>
      </c>
    </row>
    <row r="44" spans="1:13" x14ac:dyDescent="0.3">
      <c r="A44" s="254"/>
      <c r="B44" s="268"/>
      <c r="C44" s="2" t="s">
        <v>42</v>
      </c>
      <c r="D44" s="3">
        <v>552000</v>
      </c>
      <c r="E44" s="3">
        <v>534045</v>
      </c>
      <c r="F44" s="3">
        <f>'2019.10.31.'!F44-30000</f>
        <v>-30000</v>
      </c>
      <c r="G44" s="3"/>
      <c r="H44" s="3"/>
      <c r="I44" s="3"/>
      <c r="J44" s="3">
        <f>'2019.10.31.'!I44</f>
        <v>0</v>
      </c>
      <c r="K44" s="20">
        <f t="shared" si="6"/>
        <v>504045</v>
      </c>
      <c r="L44" s="108">
        <v>322040</v>
      </c>
      <c r="M44" s="3">
        <f t="shared" si="7"/>
        <v>182005</v>
      </c>
    </row>
    <row r="45" spans="1:13" x14ac:dyDescent="0.3">
      <c r="A45" s="254"/>
      <c r="B45" s="268"/>
      <c r="C45" s="2" t="s">
        <v>43</v>
      </c>
      <c r="D45" s="3">
        <v>30000</v>
      </c>
      <c r="E45" s="3">
        <v>30000</v>
      </c>
      <c r="F45" s="3">
        <f>'2019.10.31.'!F45</f>
        <v>0</v>
      </c>
      <c r="G45" s="3"/>
      <c r="H45" s="3"/>
      <c r="I45" s="3"/>
      <c r="J45" s="3">
        <f>'2019.10.31.'!I45</f>
        <v>0</v>
      </c>
      <c r="K45" s="20">
        <f t="shared" si="6"/>
        <v>30000</v>
      </c>
      <c r="L45" s="108">
        <v>0</v>
      </c>
      <c r="M45" s="3">
        <f t="shared" si="7"/>
        <v>30000</v>
      </c>
    </row>
    <row r="46" spans="1:13" x14ac:dyDescent="0.3">
      <c r="A46" s="254"/>
      <c r="B46" s="268"/>
      <c r="C46" s="2" t="s">
        <v>44</v>
      </c>
      <c r="D46" s="3">
        <v>455834</v>
      </c>
      <c r="E46" s="3">
        <v>218435</v>
      </c>
      <c r="F46" s="3">
        <f>'2019.10.31.'!F46</f>
        <v>0</v>
      </c>
      <c r="G46" s="3"/>
      <c r="H46" s="3"/>
      <c r="I46" s="3"/>
      <c r="J46" s="3">
        <f>'2019.10.31.'!I46</f>
        <v>0</v>
      </c>
      <c r="K46" s="20">
        <f t="shared" si="6"/>
        <v>218435</v>
      </c>
      <c r="L46" s="108">
        <v>132970</v>
      </c>
      <c r="M46" s="3">
        <f t="shared" si="7"/>
        <v>85465</v>
      </c>
    </row>
    <row r="47" spans="1:13" x14ac:dyDescent="0.3">
      <c r="A47" s="254"/>
      <c r="B47" s="268"/>
      <c r="C47" s="2" t="s">
        <v>45</v>
      </c>
      <c r="D47" s="3">
        <v>80000</v>
      </c>
      <c r="E47" s="3">
        <v>75764</v>
      </c>
      <c r="F47" s="3">
        <f>'2019.10.31.'!F47</f>
        <v>0</v>
      </c>
      <c r="G47" s="3"/>
      <c r="H47" s="3"/>
      <c r="I47" s="3"/>
      <c r="J47" s="3">
        <f>'2019.10.31.'!I47</f>
        <v>0</v>
      </c>
      <c r="K47" s="20">
        <f t="shared" si="6"/>
        <v>75764</v>
      </c>
      <c r="L47" s="108">
        <v>63943</v>
      </c>
      <c r="M47" s="3">
        <f t="shared" si="7"/>
        <v>11821</v>
      </c>
    </row>
    <row r="48" spans="1:13" x14ac:dyDescent="0.3">
      <c r="A48" s="254"/>
      <c r="B48" s="268"/>
      <c r="C48" s="6" t="s">
        <v>49</v>
      </c>
      <c r="D48" s="7">
        <f>SUM(D34:D47)</f>
        <v>3863610</v>
      </c>
      <c r="E48" s="7">
        <v>3550520</v>
      </c>
      <c r="F48" s="7">
        <f t="shared" ref="F48:M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0</v>
      </c>
      <c r="K48" s="7">
        <f t="shared" si="8"/>
        <v>3550520</v>
      </c>
      <c r="L48" s="110">
        <f t="shared" si="8"/>
        <v>1856383</v>
      </c>
      <c r="M48" s="7">
        <f t="shared" si="8"/>
        <v>1694137</v>
      </c>
    </row>
    <row r="49" spans="1:13" x14ac:dyDescent="0.3">
      <c r="A49" s="254"/>
      <c r="B49" s="268"/>
      <c r="C49" s="2" t="s">
        <v>50</v>
      </c>
      <c r="D49" s="3">
        <v>78740</v>
      </c>
      <c r="E49" s="3">
        <v>78740</v>
      </c>
      <c r="F49" s="3">
        <f>'2019.10.31.'!F49</f>
        <v>0</v>
      </c>
      <c r="G49" s="3"/>
      <c r="H49" s="3"/>
      <c r="I49" s="3"/>
      <c r="J49" s="3">
        <f>'2019.10.31.'!I49</f>
        <v>0</v>
      </c>
      <c r="K49" s="20">
        <f t="shared" ref="K49:K50" si="9">E49+F49+G49+I49+J49</f>
        <v>78740</v>
      </c>
      <c r="L49" s="108">
        <v>0</v>
      </c>
      <c r="M49" s="3">
        <f t="shared" ref="M49:M50" si="10">K49-L49</f>
        <v>78740</v>
      </c>
    </row>
    <row r="50" spans="1:13" x14ac:dyDescent="0.3">
      <c r="A50" s="254"/>
      <c r="B50" s="268"/>
      <c r="C50" s="2" t="s">
        <v>51</v>
      </c>
      <c r="D50" s="3">
        <v>21260</v>
      </c>
      <c r="E50" s="3">
        <v>21260</v>
      </c>
      <c r="F50" s="3">
        <f>'2019.10.31.'!F50</f>
        <v>0</v>
      </c>
      <c r="G50" s="3"/>
      <c r="H50" s="3"/>
      <c r="I50" s="3"/>
      <c r="J50" s="3">
        <f>'2019.10.31.'!I50</f>
        <v>0</v>
      </c>
      <c r="K50" s="20">
        <f t="shared" si="9"/>
        <v>21260</v>
      </c>
      <c r="L50" s="108">
        <v>0</v>
      </c>
      <c r="M50" s="3">
        <f t="shared" si="10"/>
        <v>21260</v>
      </c>
    </row>
    <row r="51" spans="1:13" x14ac:dyDescent="0.3">
      <c r="A51" s="254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M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0</v>
      </c>
      <c r="K51" s="7">
        <f t="shared" si="11"/>
        <v>100000</v>
      </c>
      <c r="L51" s="110">
        <f t="shared" si="11"/>
        <v>0</v>
      </c>
      <c r="M51" s="7">
        <f t="shared" si="11"/>
        <v>100000</v>
      </c>
    </row>
    <row r="52" spans="1:13" x14ac:dyDescent="0.3">
      <c r="A52" s="254"/>
      <c r="B52" s="261" t="s">
        <v>46</v>
      </c>
      <c r="C52" s="2" t="s">
        <v>24</v>
      </c>
      <c r="D52" s="3">
        <v>25123345</v>
      </c>
      <c r="E52" s="3">
        <v>25143281</v>
      </c>
      <c r="F52" s="3">
        <f>'2019.10.31.'!F52-50381-375000</f>
        <v>-425381</v>
      </c>
      <c r="G52" s="3"/>
      <c r="H52" s="3"/>
      <c r="I52" s="3"/>
      <c r="J52" s="3">
        <f>'2019.10.31.'!I52</f>
        <v>31806</v>
      </c>
      <c r="K52" s="20">
        <f t="shared" ref="K52:K60" si="12">E52+F52+G52+I52+J52</f>
        <v>24749706</v>
      </c>
      <c r="L52" s="108">
        <v>18827037</v>
      </c>
      <c r="M52" s="3">
        <f t="shared" ref="M52:M60" si="13">K52-L52</f>
        <v>5922669</v>
      </c>
    </row>
    <row r="53" spans="1:13" x14ac:dyDescent="0.3">
      <c r="A53" s="254"/>
      <c r="B53" s="261"/>
      <c r="C53" s="2" t="s">
        <v>47</v>
      </c>
      <c r="D53" s="3">
        <v>2040480</v>
      </c>
      <c r="E53" s="3">
        <v>2040480</v>
      </c>
      <c r="F53" s="3">
        <f>'2019.10.31.'!F53</f>
        <v>0</v>
      </c>
      <c r="G53" s="3"/>
      <c r="H53" s="3"/>
      <c r="I53" s="3"/>
      <c r="J53" s="3">
        <f>'2019.10.31.'!I53</f>
        <v>0</v>
      </c>
      <c r="K53" s="20">
        <f t="shared" si="12"/>
        <v>2040480</v>
      </c>
      <c r="L53" s="108">
        <v>1595194</v>
      </c>
      <c r="M53" s="3">
        <f t="shared" si="13"/>
        <v>445286</v>
      </c>
    </row>
    <row r="54" spans="1:13" x14ac:dyDescent="0.3">
      <c r="A54" s="254"/>
      <c r="B54" s="261"/>
      <c r="C54" s="2" t="s">
        <v>48</v>
      </c>
      <c r="D54" s="3">
        <v>0</v>
      </c>
      <c r="E54" s="3">
        <v>0</v>
      </c>
      <c r="F54" s="3">
        <f>'2019.10.31.'!F54</f>
        <v>0</v>
      </c>
      <c r="G54" s="3"/>
      <c r="H54" s="3"/>
      <c r="I54" s="3"/>
      <c r="J54" s="3">
        <f>'2019.10.31.'!I54</f>
        <v>0</v>
      </c>
      <c r="K54" s="20">
        <f t="shared" si="12"/>
        <v>0</v>
      </c>
      <c r="L54" s="108">
        <v>0</v>
      </c>
      <c r="M54" s="3">
        <f t="shared" si="13"/>
        <v>0</v>
      </c>
    </row>
    <row r="55" spans="1:13" x14ac:dyDescent="0.3">
      <c r="A55" s="254"/>
      <c r="B55" s="261"/>
      <c r="C55" s="2" t="s">
        <v>25</v>
      </c>
      <c r="D55" s="3">
        <v>1025000</v>
      </c>
      <c r="E55" s="3">
        <v>1025000</v>
      </c>
      <c r="F55" s="3">
        <f>'2019.10.31.'!F55</f>
        <v>0</v>
      </c>
      <c r="G55" s="3"/>
      <c r="H55" s="3"/>
      <c r="I55" s="3"/>
      <c r="J55" s="3">
        <f>'2019.10.31.'!I55</f>
        <v>0</v>
      </c>
      <c r="K55" s="20">
        <f t="shared" si="12"/>
        <v>1025000</v>
      </c>
      <c r="L55" s="108">
        <v>925000</v>
      </c>
      <c r="M55" s="3">
        <f t="shared" si="13"/>
        <v>100000</v>
      </c>
    </row>
    <row r="56" spans="1:13" x14ac:dyDescent="0.3">
      <c r="A56" s="254"/>
      <c r="B56" s="261"/>
      <c r="C56" s="2" t="s">
        <v>26</v>
      </c>
      <c r="D56" s="3">
        <v>60000</v>
      </c>
      <c r="E56" s="3">
        <v>60000</v>
      </c>
      <c r="F56" s="3">
        <f>'2019.10.31.'!F56</f>
        <v>0</v>
      </c>
      <c r="G56" s="3"/>
      <c r="H56" s="3"/>
      <c r="I56" s="3"/>
      <c r="J56" s="3">
        <f>'2019.10.31.'!I56</f>
        <v>0</v>
      </c>
      <c r="K56" s="20">
        <f t="shared" si="12"/>
        <v>60000</v>
      </c>
      <c r="L56" s="108">
        <v>0</v>
      </c>
      <c r="M56" s="3">
        <f t="shared" si="13"/>
        <v>60000</v>
      </c>
    </row>
    <row r="57" spans="1:13" x14ac:dyDescent="0.3">
      <c r="A57" s="254"/>
      <c r="B57" s="261"/>
      <c r="C57" s="2" t="s">
        <v>27</v>
      </c>
      <c r="D57" s="3">
        <v>240000</v>
      </c>
      <c r="E57" s="3">
        <v>229902</v>
      </c>
      <c r="F57" s="3">
        <f>'2019.10.31.'!F57</f>
        <v>0</v>
      </c>
      <c r="G57" s="3"/>
      <c r="H57" s="3"/>
      <c r="I57" s="3"/>
      <c r="J57" s="3">
        <f>'2019.10.31.'!I57</f>
        <v>0</v>
      </c>
      <c r="K57" s="20">
        <f t="shared" si="12"/>
        <v>229902</v>
      </c>
      <c r="L57" s="108">
        <v>129870</v>
      </c>
      <c r="M57" s="3">
        <f t="shared" si="13"/>
        <v>100032</v>
      </c>
    </row>
    <row r="58" spans="1:13" x14ac:dyDescent="0.3">
      <c r="A58" s="254"/>
      <c r="B58" s="261"/>
      <c r="C58" s="2" t="s">
        <v>28</v>
      </c>
      <c r="D58" s="3">
        <v>147000</v>
      </c>
      <c r="E58" s="3">
        <v>147000</v>
      </c>
      <c r="F58" s="3">
        <f>'2019.10.31.'!F58</f>
        <v>0</v>
      </c>
      <c r="G58" s="3"/>
      <c r="H58" s="3"/>
      <c r="I58" s="3"/>
      <c r="J58" s="3">
        <f>'2019.10.31.'!I58</f>
        <v>0</v>
      </c>
      <c r="K58" s="20">
        <f t="shared" si="12"/>
        <v>147000</v>
      </c>
      <c r="L58" s="108">
        <v>57000</v>
      </c>
      <c r="M58" s="3">
        <f t="shared" si="13"/>
        <v>90000</v>
      </c>
    </row>
    <row r="59" spans="1:13" x14ac:dyDescent="0.3">
      <c r="A59" s="254"/>
      <c r="B59" s="261"/>
      <c r="C59" s="2" t="s">
        <v>29</v>
      </c>
      <c r="D59" s="3">
        <v>553500</v>
      </c>
      <c r="E59" s="3">
        <v>523080</v>
      </c>
      <c r="F59" s="3">
        <f>'2019.10.31.'!F59+50381+375000</f>
        <v>494617</v>
      </c>
      <c r="G59" s="3"/>
      <c r="H59" s="3"/>
      <c r="I59" s="3"/>
      <c r="J59" s="3">
        <f>'2019.10.31.'!I59</f>
        <v>0</v>
      </c>
      <c r="K59" s="20">
        <f t="shared" si="12"/>
        <v>1017697</v>
      </c>
      <c r="L59" s="108">
        <v>592316</v>
      </c>
      <c r="M59" s="3">
        <f t="shared" si="13"/>
        <v>425381</v>
      </c>
    </row>
    <row r="60" spans="1:13" x14ac:dyDescent="0.3">
      <c r="A60" s="254"/>
      <c r="B60" s="261"/>
      <c r="C60" s="2" t="s">
        <v>30</v>
      </c>
      <c r="D60" s="3">
        <v>100000</v>
      </c>
      <c r="E60" s="3">
        <v>100000</v>
      </c>
      <c r="F60" s="3">
        <f>'2019.10.31.'!F60</f>
        <v>0</v>
      </c>
      <c r="G60" s="3"/>
      <c r="H60" s="3"/>
      <c r="I60" s="3"/>
      <c r="J60" s="3">
        <f>'2019.10.31.'!I60</f>
        <v>0</v>
      </c>
      <c r="K60" s="20">
        <f t="shared" si="12"/>
        <v>100000</v>
      </c>
      <c r="L60" s="108">
        <v>19652</v>
      </c>
      <c r="M60" s="3">
        <f t="shared" si="13"/>
        <v>80348</v>
      </c>
    </row>
    <row r="61" spans="1:13" x14ac:dyDescent="0.3">
      <c r="A61" s="254"/>
      <c r="B61" s="261"/>
      <c r="C61" s="6" t="s">
        <v>53</v>
      </c>
      <c r="D61" s="7">
        <f>SUM(D52:D60)</f>
        <v>29289325</v>
      </c>
      <c r="E61" s="7">
        <v>29268743</v>
      </c>
      <c r="F61" s="7">
        <f t="shared" ref="F61:M61" si="14">SUM(F52:F60)</f>
        <v>69236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31806</v>
      </c>
      <c r="K61" s="7">
        <f t="shared" si="14"/>
        <v>29369785</v>
      </c>
      <c r="L61" s="110">
        <f t="shared" si="14"/>
        <v>22146069</v>
      </c>
      <c r="M61" s="7">
        <f t="shared" si="14"/>
        <v>7223716</v>
      </c>
    </row>
    <row r="62" spans="1:13" x14ac:dyDescent="0.3">
      <c r="A62" s="254"/>
      <c r="B62" s="261"/>
      <c r="C62" s="82" t="s">
        <v>31</v>
      </c>
      <c r="D62" s="83">
        <v>5849797</v>
      </c>
      <c r="E62" s="83">
        <v>5853685</v>
      </c>
      <c r="F62" s="85">
        <f>'2019.10.31.'!F62</f>
        <v>0</v>
      </c>
      <c r="G62" s="85"/>
      <c r="H62" s="85"/>
      <c r="I62" s="85"/>
      <c r="J62" s="85">
        <f>'2019.10.31.'!I62</f>
        <v>5566</v>
      </c>
      <c r="K62" s="84">
        <f t="shared" ref="K62:K75" si="15">E62+F62+G62+I62+J62</f>
        <v>5859251</v>
      </c>
      <c r="L62" s="111">
        <v>4688239</v>
      </c>
      <c r="M62" s="85">
        <f t="shared" ref="M62:M75" si="16">K62-L62</f>
        <v>1171012</v>
      </c>
    </row>
    <row r="63" spans="1:13" x14ac:dyDescent="0.3">
      <c r="A63" s="254"/>
      <c r="B63" s="261"/>
      <c r="C63" s="2" t="s">
        <v>32</v>
      </c>
      <c r="D63" s="3">
        <v>105000</v>
      </c>
      <c r="E63" s="3">
        <v>105000</v>
      </c>
      <c r="F63" s="3">
        <f>'2019.10.31.'!F63</f>
        <v>-13514</v>
      </c>
      <c r="G63" s="3"/>
      <c r="H63" s="3"/>
      <c r="I63" s="3"/>
      <c r="J63" s="3">
        <f>'2019.10.31.'!I63</f>
        <v>0</v>
      </c>
      <c r="K63" s="20">
        <f t="shared" si="15"/>
        <v>91486</v>
      </c>
      <c r="L63" s="108">
        <v>24820</v>
      </c>
      <c r="M63" s="3">
        <f t="shared" si="16"/>
        <v>66666</v>
      </c>
    </row>
    <row r="64" spans="1:13" x14ac:dyDescent="0.3">
      <c r="A64" s="254"/>
      <c r="B64" s="261"/>
      <c r="C64" s="2" t="s">
        <v>33</v>
      </c>
      <c r="D64" s="3">
        <v>700000</v>
      </c>
      <c r="E64" s="3">
        <v>700000</v>
      </c>
      <c r="F64" s="3">
        <f>'2019.10.31.'!F64-500000</f>
        <v>-500000</v>
      </c>
      <c r="G64" s="3"/>
      <c r="H64" s="3"/>
      <c r="I64" s="3"/>
      <c r="J64" s="3">
        <f>'2019.10.31.'!I64</f>
        <v>0</v>
      </c>
      <c r="K64" s="20">
        <f t="shared" si="15"/>
        <v>200000</v>
      </c>
      <c r="L64" s="108">
        <v>43894</v>
      </c>
      <c r="M64" s="3">
        <f t="shared" si="16"/>
        <v>156106</v>
      </c>
    </row>
    <row r="65" spans="1:13" x14ac:dyDescent="0.3">
      <c r="A65" s="254"/>
      <c r="B65" s="261"/>
      <c r="C65" s="2" t="s">
        <v>34</v>
      </c>
      <c r="D65" s="3">
        <v>213000</v>
      </c>
      <c r="E65" s="3">
        <v>213000</v>
      </c>
      <c r="F65" s="3">
        <f>'2019.10.31.'!F65</f>
        <v>0</v>
      </c>
      <c r="G65" s="3"/>
      <c r="H65" s="3"/>
      <c r="I65" s="3"/>
      <c r="J65" s="3">
        <f>'2019.10.31.'!I65</f>
        <v>0</v>
      </c>
      <c r="K65" s="20">
        <f t="shared" si="15"/>
        <v>213000</v>
      </c>
      <c r="L65" s="108">
        <v>87869</v>
      </c>
      <c r="M65" s="3">
        <f t="shared" si="16"/>
        <v>125131</v>
      </c>
    </row>
    <row r="66" spans="1:13" x14ac:dyDescent="0.3">
      <c r="A66" s="254"/>
      <c r="B66" s="261"/>
      <c r="C66" s="2" t="s">
        <v>35</v>
      </c>
      <c r="D66" s="3">
        <v>288000</v>
      </c>
      <c r="E66" s="3">
        <v>122200</v>
      </c>
      <c r="F66" s="3">
        <f>'2019.10.31.'!F66</f>
        <v>0</v>
      </c>
      <c r="G66" s="3"/>
      <c r="H66" s="3"/>
      <c r="I66" s="3"/>
      <c r="J66" s="3">
        <f>'2019.10.31.'!I66</f>
        <v>0</v>
      </c>
      <c r="K66" s="20">
        <f t="shared" si="15"/>
        <v>122200</v>
      </c>
      <c r="L66" s="108">
        <v>93967</v>
      </c>
      <c r="M66" s="3">
        <f t="shared" si="16"/>
        <v>28233</v>
      </c>
    </row>
    <row r="67" spans="1:13" x14ac:dyDescent="0.3">
      <c r="A67" s="254"/>
      <c r="B67" s="261"/>
      <c r="C67" s="2" t="s">
        <v>36</v>
      </c>
      <c r="D67" s="3">
        <v>669540</v>
      </c>
      <c r="E67" s="3">
        <v>669540</v>
      </c>
      <c r="F67" s="3">
        <f>'2019.10.31.'!F67</f>
        <v>0</v>
      </c>
      <c r="G67" s="3"/>
      <c r="H67" s="3"/>
      <c r="I67" s="3"/>
      <c r="J67" s="3">
        <f>'2019.10.31.'!I67</f>
        <v>0</v>
      </c>
      <c r="K67" s="20">
        <f t="shared" si="15"/>
        <v>669540</v>
      </c>
      <c r="L67" s="108">
        <v>467977</v>
      </c>
      <c r="M67" s="3">
        <f t="shared" si="16"/>
        <v>201563</v>
      </c>
    </row>
    <row r="68" spans="1:13" x14ac:dyDescent="0.3">
      <c r="A68" s="254"/>
      <c r="B68" s="261"/>
      <c r="C68" s="2" t="s">
        <v>37</v>
      </c>
      <c r="D68" s="3">
        <v>123000</v>
      </c>
      <c r="E68" s="3">
        <v>123000</v>
      </c>
      <c r="F68" s="3">
        <f>'2019.10.31.'!F68</f>
        <v>0</v>
      </c>
      <c r="G68" s="3"/>
      <c r="H68" s="3"/>
      <c r="I68" s="3"/>
      <c r="J68" s="3">
        <f>'2019.10.31.'!I68</f>
        <v>0</v>
      </c>
      <c r="K68" s="20">
        <f t="shared" si="15"/>
        <v>123000</v>
      </c>
      <c r="L68" s="108">
        <v>0</v>
      </c>
      <c r="M68" s="3">
        <f t="shared" si="16"/>
        <v>123000</v>
      </c>
    </row>
    <row r="69" spans="1:13" x14ac:dyDescent="0.3">
      <c r="A69" s="254"/>
      <c r="B69" s="261"/>
      <c r="C69" s="2" t="s">
        <v>38</v>
      </c>
      <c r="D69" s="3">
        <v>460000</v>
      </c>
      <c r="E69" s="3">
        <v>460000</v>
      </c>
      <c r="F69" s="3">
        <f>'2019.10.31.'!F69</f>
        <v>0</v>
      </c>
      <c r="G69" s="3"/>
      <c r="H69" s="3"/>
      <c r="I69" s="3"/>
      <c r="J69" s="3">
        <f>'2019.10.31.'!I69</f>
        <v>0</v>
      </c>
      <c r="K69" s="20">
        <f t="shared" si="15"/>
        <v>460000</v>
      </c>
      <c r="L69" s="108">
        <v>193540</v>
      </c>
      <c r="M69" s="3">
        <f t="shared" si="16"/>
        <v>266460</v>
      </c>
    </row>
    <row r="70" spans="1:13" x14ac:dyDescent="0.3">
      <c r="A70" s="254"/>
      <c r="B70" s="261"/>
      <c r="C70" s="2" t="s">
        <v>40</v>
      </c>
      <c r="D70" s="3">
        <v>1361904</v>
      </c>
      <c r="E70" s="3">
        <v>1361904</v>
      </c>
      <c r="F70" s="3">
        <f>'2019.10.31.'!F70</f>
        <v>-108636</v>
      </c>
      <c r="G70" s="3"/>
      <c r="H70" s="3"/>
      <c r="I70" s="3"/>
      <c r="J70" s="3">
        <f>'2019.10.31.'!I70</f>
        <v>0</v>
      </c>
      <c r="K70" s="20">
        <f t="shared" si="15"/>
        <v>1253268</v>
      </c>
      <c r="L70" s="108">
        <v>544586</v>
      </c>
      <c r="M70" s="3">
        <f t="shared" si="16"/>
        <v>708682</v>
      </c>
    </row>
    <row r="71" spans="1:13" x14ac:dyDescent="0.3">
      <c r="A71" s="254"/>
      <c r="B71" s="261"/>
      <c r="C71" s="2" t="s">
        <v>41</v>
      </c>
      <c r="D71" s="3">
        <v>982236</v>
      </c>
      <c r="E71" s="3">
        <v>980551</v>
      </c>
      <c r="F71" s="3">
        <f>'2019.10.31.'!F71+500000-240000+240000</f>
        <v>608636</v>
      </c>
      <c r="G71" s="3"/>
      <c r="H71" s="3"/>
      <c r="I71" s="3"/>
      <c r="J71" s="3">
        <f>'2019.10.31.'!I71</f>
        <v>0</v>
      </c>
      <c r="K71" s="20">
        <f t="shared" si="15"/>
        <v>1589187</v>
      </c>
      <c r="L71" s="108">
        <v>1027227</v>
      </c>
      <c r="M71" s="3">
        <f t="shared" si="16"/>
        <v>561960</v>
      </c>
    </row>
    <row r="72" spans="1:13" x14ac:dyDescent="0.3">
      <c r="A72" s="254"/>
      <c r="B72" s="261"/>
      <c r="C72" s="2" t="s">
        <v>42</v>
      </c>
      <c r="D72" s="3">
        <v>1200000</v>
      </c>
      <c r="E72" s="3">
        <v>1139045</v>
      </c>
      <c r="F72" s="3">
        <f>'2019.10.31.'!F72-240000</f>
        <v>-240000</v>
      </c>
      <c r="G72" s="3"/>
      <c r="H72" s="3"/>
      <c r="I72" s="3"/>
      <c r="J72" s="3">
        <f>'2019.10.31.'!I72</f>
        <v>0</v>
      </c>
      <c r="K72" s="20">
        <f t="shared" si="15"/>
        <v>899045</v>
      </c>
      <c r="L72" s="108">
        <v>281975</v>
      </c>
      <c r="M72" s="3">
        <f t="shared" si="16"/>
        <v>617070</v>
      </c>
    </row>
    <row r="73" spans="1:13" x14ac:dyDescent="0.3">
      <c r="A73" s="254"/>
      <c r="B73" s="261"/>
      <c r="C73" s="2" t="s">
        <v>43</v>
      </c>
      <c r="D73" s="3">
        <v>30000</v>
      </c>
      <c r="E73" s="3">
        <v>30000</v>
      </c>
      <c r="F73" s="3">
        <f>'2019.10.31.'!F73</f>
        <v>0</v>
      </c>
      <c r="G73" s="3"/>
      <c r="H73" s="3"/>
      <c r="I73" s="3"/>
      <c r="J73" s="3">
        <f>'2019.10.31.'!I73</f>
        <v>0</v>
      </c>
      <c r="K73" s="20">
        <f t="shared" si="15"/>
        <v>30000</v>
      </c>
      <c r="L73" s="108">
        <v>0</v>
      </c>
      <c r="M73" s="3">
        <f t="shared" si="16"/>
        <v>30000</v>
      </c>
    </row>
    <row r="74" spans="1:13" x14ac:dyDescent="0.3">
      <c r="A74" s="254"/>
      <c r="B74" s="261"/>
      <c r="C74" s="2" t="s">
        <v>44</v>
      </c>
      <c r="D74" s="3">
        <v>1041508</v>
      </c>
      <c r="E74" s="3">
        <v>980423</v>
      </c>
      <c r="F74" s="3">
        <f>'2019.10.31.'!F74-1295</f>
        <v>-2280</v>
      </c>
      <c r="G74" s="3"/>
      <c r="H74" s="3"/>
      <c r="I74" s="3"/>
      <c r="J74" s="3">
        <f>'2019.10.31.'!I74</f>
        <v>0</v>
      </c>
      <c r="K74" s="20">
        <f t="shared" si="15"/>
        <v>978143</v>
      </c>
      <c r="L74" s="108">
        <v>271977</v>
      </c>
      <c r="M74" s="3">
        <f t="shared" si="16"/>
        <v>706166</v>
      </c>
    </row>
    <row r="75" spans="1:13" x14ac:dyDescent="0.3">
      <c r="A75" s="254"/>
      <c r="B75" s="261"/>
      <c r="C75" s="2" t="s">
        <v>45</v>
      </c>
      <c r="D75" s="3">
        <v>433021</v>
      </c>
      <c r="E75" s="3">
        <v>134003</v>
      </c>
      <c r="F75" s="3">
        <f>'2019.10.31.'!F75</f>
        <v>-26400</v>
      </c>
      <c r="G75" s="3"/>
      <c r="H75" s="3"/>
      <c r="I75" s="3"/>
      <c r="J75" s="3">
        <f>'2019.10.31.'!I75</f>
        <v>0</v>
      </c>
      <c r="K75" s="20">
        <f t="shared" si="15"/>
        <v>107603</v>
      </c>
      <c r="L75" s="108">
        <v>0</v>
      </c>
      <c r="M75" s="3">
        <f t="shared" si="16"/>
        <v>107603</v>
      </c>
    </row>
    <row r="76" spans="1:13" x14ac:dyDescent="0.3">
      <c r="A76" s="254"/>
      <c r="B76" s="261"/>
      <c r="C76" s="6" t="s">
        <v>49</v>
      </c>
      <c r="D76" s="7">
        <f>SUM(D63:D75)</f>
        <v>7607209</v>
      </c>
      <c r="E76" s="7">
        <v>7018666</v>
      </c>
      <c r="F76" s="7">
        <f t="shared" ref="F76:M76" si="17">SUM(F63:F75)</f>
        <v>-282194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0</v>
      </c>
      <c r="K76" s="7">
        <f t="shared" si="17"/>
        <v>6736472</v>
      </c>
      <c r="L76" s="110">
        <f t="shared" si="17"/>
        <v>3037832</v>
      </c>
      <c r="M76" s="7">
        <f t="shared" si="17"/>
        <v>3698640</v>
      </c>
    </row>
    <row r="77" spans="1:13" x14ac:dyDescent="0.3">
      <c r="A77" s="254"/>
      <c r="B77" s="261"/>
      <c r="C77" s="2" t="s">
        <v>50</v>
      </c>
      <c r="D77" s="3">
        <v>78740</v>
      </c>
      <c r="E77" s="3">
        <v>78740</v>
      </c>
      <c r="F77" s="3">
        <f>'2019.10.31.'!F77</f>
        <v>0</v>
      </c>
      <c r="G77" s="3"/>
      <c r="H77" s="3"/>
      <c r="I77" s="3"/>
      <c r="J77" s="3">
        <f>'2019.10.31.'!I77</f>
        <v>0</v>
      </c>
      <c r="K77" s="20">
        <f t="shared" ref="K77:K78" si="18">E77+F77+G77+I77+J77</f>
        <v>78740</v>
      </c>
      <c r="L77" s="108">
        <v>0</v>
      </c>
      <c r="M77" s="3">
        <f t="shared" ref="M77:M78" si="19">K77-L77</f>
        <v>78740</v>
      </c>
    </row>
    <row r="78" spans="1:13" x14ac:dyDescent="0.3">
      <c r="A78" s="254"/>
      <c r="B78" s="261"/>
      <c r="C78" s="2" t="s">
        <v>51</v>
      </c>
      <c r="D78" s="3">
        <v>21260</v>
      </c>
      <c r="E78" s="3">
        <v>21260</v>
      </c>
      <c r="F78" s="3">
        <f>'2019.10.31.'!F78</f>
        <v>0</v>
      </c>
      <c r="G78" s="3"/>
      <c r="H78" s="3"/>
      <c r="I78" s="3"/>
      <c r="J78" s="3">
        <f>'2019.10.31.'!I78</f>
        <v>0</v>
      </c>
      <c r="K78" s="20">
        <f t="shared" si="18"/>
        <v>21260</v>
      </c>
      <c r="L78" s="108">
        <v>0</v>
      </c>
      <c r="M78" s="3">
        <f t="shared" si="19"/>
        <v>21260</v>
      </c>
    </row>
    <row r="79" spans="1:13" x14ac:dyDescent="0.3">
      <c r="A79" s="254"/>
      <c r="B79" s="261"/>
      <c r="C79" s="6" t="s">
        <v>52</v>
      </c>
      <c r="D79" s="7">
        <f>SUM(D77:D78)</f>
        <v>100000</v>
      </c>
      <c r="E79" s="7">
        <v>100000</v>
      </c>
      <c r="F79" s="7">
        <f t="shared" ref="F79:M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0</v>
      </c>
      <c r="K79" s="7">
        <f t="shared" si="20"/>
        <v>100000</v>
      </c>
      <c r="L79" s="110">
        <f t="shared" si="20"/>
        <v>0</v>
      </c>
      <c r="M79" s="7">
        <f t="shared" si="20"/>
        <v>100000</v>
      </c>
    </row>
    <row r="80" spans="1:13" x14ac:dyDescent="0.3">
      <c r="A80" s="281" t="s">
        <v>58</v>
      </c>
      <c r="B80" s="280" t="s">
        <v>46</v>
      </c>
      <c r="C80" s="15" t="s">
        <v>29</v>
      </c>
      <c r="D80" s="24">
        <v>410400</v>
      </c>
      <c r="E80" s="24">
        <v>410400</v>
      </c>
      <c r="F80" s="3">
        <f>'2019.10.31.'!F80</f>
        <v>0</v>
      </c>
      <c r="G80" s="3"/>
      <c r="H80" s="3">
        <v>36400</v>
      </c>
      <c r="I80" s="3"/>
      <c r="J80" s="3">
        <f>'2019.10.31.'!I80</f>
        <v>0</v>
      </c>
      <c r="K80" s="20">
        <f>E80+F80+G80+I80+J80+H80</f>
        <v>446800</v>
      </c>
      <c r="L80" s="108">
        <v>359400</v>
      </c>
      <c r="M80" s="3">
        <f t="shared" ref="M80:M87" si="21">K80-L80</f>
        <v>87400</v>
      </c>
    </row>
    <row r="81" spans="1:13" x14ac:dyDescent="0.3">
      <c r="A81" s="282"/>
      <c r="B81" s="286"/>
      <c r="C81" s="15" t="s">
        <v>31</v>
      </c>
      <c r="D81" s="24">
        <v>76266</v>
      </c>
      <c r="E81" s="24">
        <v>76266</v>
      </c>
      <c r="F81" s="3">
        <f>'2019.10.31.'!F81</f>
        <v>0</v>
      </c>
      <c r="G81" s="3"/>
      <c r="H81" s="3">
        <v>6928</v>
      </c>
      <c r="I81" s="3"/>
      <c r="J81" s="3">
        <f>'2019.10.31.'!I81</f>
        <v>0</v>
      </c>
      <c r="K81" s="20">
        <f t="shared" ref="K81:K83" si="22">E81+F81+G81+I81+J81+H81</f>
        <v>83194</v>
      </c>
      <c r="L81" s="108">
        <v>67900</v>
      </c>
      <c r="M81" s="3">
        <f t="shared" si="21"/>
        <v>15294</v>
      </c>
    </row>
    <row r="82" spans="1:13" x14ac:dyDescent="0.3">
      <c r="A82" s="281" t="s">
        <v>59</v>
      </c>
      <c r="B82" s="280" t="s">
        <v>23</v>
      </c>
      <c r="C82" s="15" t="s">
        <v>29</v>
      </c>
      <c r="D82" s="24">
        <v>603600</v>
      </c>
      <c r="E82" s="24">
        <v>603600</v>
      </c>
      <c r="F82" s="3">
        <f>'2019.10.31.'!F82</f>
        <v>0</v>
      </c>
      <c r="G82" s="3"/>
      <c r="H82" s="3">
        <v>-261800</v>
      </c>
      <c r="I82" s="3"/>
      <c r="J82" s="3">
        <f>'2019.10.31.'!I82</f>
        <v>0</v>
      </c>
      <c r="K82" s="20">
        <f t="shared" si="22"/>
        <v>341800</v>
      </c>
      <c r="L82" s="108">
        <v>288800</v>
      </c>
      <c r="M82" s="3">
        <f t="shared" si="21"/>
        <v>53000</v>
      </c>
    </row>
    <row r="83" spans="1:13" x14ac:dyDescent="0.3">
      <c r="A83" s="282"/>
      <c r="B83" s="286"/>
      <c r="C83" s="15" t="s">
        <v>31</v>
      </c>
      <c r="D83" s="24">
        <v>112169</v>
      </c>
      <c r="E83" s="24">
        <v>112169</v>
      </c>
      <c r="F83" s="3">
        <f>'2019.10.31.'!F83</f>
        <v>0</v>
      </c>
      <c r="G83" s="3"/>
      <c r="H83" s="3">
        <v>-48166</v>
      </c>
      <c r="I83" s="3"/>
      <c r="J83" s="3">
        <f>'2019.10.31.'!I83</f>
        <v>0</v>
      </c>
      <c r="K83" s="20">
        <f t="shared" si="22"/>
        <v>64003</v>
      </c>
      <c r="L83" s="108">
        <v>54729</v>
      </c>
      <c r="M83" s="3">
        <f t="shared" si="21"/>
        <v>9274</v>
      </c>
    </row>
    <row r="84" spans="1:13" x14ac:dyDescent="0.3">
      <c r="A84" s="281" t="s">
        <v>60</v>
      </c>
      <c r="B84" s="280" t="s">
        <v>23</v>
      </c>
      <c r="C84" s="15" t="s">
        <v>24</v>
      </c>
      <c r="D84" s="24">
        <v>10676226</v>
      </c>
      <c r="E84" s="24">
        <v>10676226</v>
      </c>
      <c r="F84" s="3">
        <f>'2019.10.31.'!F84</f>
        <v>0</v>
      </c>
      <c r="G84" s="3"/>
      <c r="H84" s="3"/>
      <c r="I84" s="3">
        <v>-303175</v>
      </c>
      <c r="J84" s="3">
        <f>'2019.10.31.'!I84</f>
        <v>0</v>
      </c>
      <c r="K84" s="20">
        <f t="shared" ref="K84:K87" si="23">E84+F84+G84+I84+J84</f>
        <v>10373051</v>
      </c>
      <c r="L84" s="108">
        <v>8615160</v>
      </c>
      <c r="M84" s="3">
        <f t="shared" si="21"/>
        <v>1757891</v>
      </c>
    </row>
    <row r="85" spans="1:13" x14ac:dyDescent="0.3">
      <c r="A85" s="282"/>
      <c r="B85" s="286"/>
      <c r="C85" s="15" t="s">
        <v>31</v>
      </c>
      <c r="D85" s="24">
        <v>1989265</v>
      </c>
      <c r="E85" s="24">
        <v>1989265</v>
      </c>
      <c r="F85" s="3">
        <f>'2019.10.31.'!F85</f>
        <v>0</v>
      </c>
      <c r="G85" s="3"/>
      <c r="H85" s="3"/>
      <c r="I85" s="3">
        <v>-53750</v>
      </c>
      <c r="J85" s="3">
        <f>'2019.10.31.'!I85</f>
        <v>0</v>
      </c>
      <c r="K85" s="20">
        <f t="shared" si="23"/>
        <v>1935515</v>
      </c>
      <c r="L85" s="108">
        <v>1627886</v>
      </c>
      <c r="M85" s="3">
        <f t="shared" si="21"/>
        <v>307629</v>
      </c>
    </row>
    <row r="86" spans="1:13" x14ac:dyDescent="0.3">
      <c r="A86" s="281" t="s">
        <v>61</v>
      </c>
      <c r="B86" s="280" t="s">
        <v>46</v>
      </c>
      <c r="C86" s="15" t="s">
        <v>24</v>
      </c>
      <c r="D86" s="24">
        <v>8397674</v>
      </c>
      <c r="E86" s="24">
        <v>8397674</v>
      </c>
      <c r="F86" s="3">
        <f>'2019.10.31.'!F86</f>
        <v>0</v>
      </c>
      <c r="G86" s="3"/>
      <c r="H86" s="3"/>
      <c r="I86" s="3">
        <v>-685857</v>
      </c>
      <c r="J86" s="3">
        <f>'2019.10.31.'!I86</f>
        <v>0</v>
      </c>
      <c r="K86" s="20">
        <f t="shared" si="23"/>
        <v>7711817</v>
      </c>
      <c r="L86" s="108">
        <v>6324311</v>
      </c>
      <c r="M86" s="3">
        <f t="shared" si="21"/>
        <v>1387506</v>
      </c>
    </row>
    <row r="87" spans="1:13" x14ac:dyDescent="0.3">
      <c r="A87" s="282"/>
      <c r="B87" s="286"/>
      <c r="C87" s="15" t="s">
        <v>31</v>
      </c>
      <c r="D87" s="24">
        <v>1563353</v>
      </c>
      <c r="E87" s="24">
        <v>1563353</v>
      </c>
      <c r="F87" s="3">
        <f>'2019.10.31.'!F87</f>
        <v>0</v>
      </c>
      <c r="G87" s="3"/>
      <c r="H87" s="3"/>
      <c r="I87" s="3">
        <v>-125527</v>
      </c>
      <c r="J87" s="3">
        <f>'2019.10.31.'!I87</f>
        <v>0</v>
      </c>
      <c r="K87" s="20">
        <f t="shared" si="23"/>
        <v>1437826</v>
      </c>
      <c r="L87" s="108">
        <v>1195009</v>
      </c>
      <c r="M87" s="3">
        <f t="shared" si="21"/>
        <v>242817</v>
      </c>
    </row>
    <row r="88" spans="1:13" x14ac:dyDescent="0.3">
      <c r="A88" s="319" t="s">
        <v>76</v>
      </c>
      <c r="B88" s="320"/>
      <c r="C88" s="321"/>
      <c r="D88" s="80">
        <f t="shared" ref="D88:M88" si="24">SUM(D32+D33+D48+D51+D61+D62+D76+D79+D80+D81+D82+D83+D84+D85+D86+D87)</f>
        <v>118207303</v>
      </c>
      <c r="E88" s="80">
        <f t="shared" si="24"/>
        <v>117239044</v>
      </c>
      <c r="F88" s="80">
        <f t="shared" si="24"/>
        <v>-282194</v>
      </c>
      <c r="G88" s="80">
        <f t="shared" si="24"/>
        <v>0</v>
      </c>
      <c r="H88" s="80">
        <f t="shared" si="24"/>
        <v>-266638</v>
      </c>
      <c r="I88" s="80">
        <f t="shared" si="24"/>
        <v>-1168309</v>
      </c>
      <c r="J88" s="80">
        <f t="shared" si="24"/>
        <v>37372</v>
      </c>
      <c r="K88" s="80">
        <f t="shared" si="24"/>
        <v>115559275</v>
      </c>
      <c r="L88" s="80">
        <f t="shared" si="24"/>
        <v>86354560</v>
      </c>
      <c r="M88" s="80">
        <f t="shared" si="24"/>
        <v>29204715</v>
      </c>
    </row>
    <row r="89" spans="1:13" x14ac:dyDescent="0.3">
      <c r="A89" s="254" t="s">
        <v>12</v>
      </c>
      <c r="B89" s="261" t="s">
        <v>23</v>
      </c>
      <c r="C89" s="2" t="s">
        <v>24</v>
      </c>
      <c r="D89" s="3">
        <v>4811583</v>
      </c>
      <c r="E89" s="3">
        <v>4902465</v>
      </c>
      <c r="F89" s="3">
        <f>'2019.10.31.'!F89-6878</f>
        <v>-6878</v>
      </c>
      <c r="G89" s="3"/>
      <c r="H89" s="3"/>
      <c r="I89" s="3"/>
      <c r="J89" s="3">
        <f>'2019.10.31.'!I89</f>
        <v>18575</v>
      </c>
      <c r="K89" s="20">
        <f t="shared" ref="K89:K95" si="25">E89+F89+G89+I89+J89</f>
        <v>4914162</v>
      </c>
      <c r="L89" s="108">
        <v>3758552</v>
      </c>
      <c r="M89" s="3">
        <f t="shared" ref="M89:M95" si="26">K89-L89</f>
        <v>1155610</v>
      </c>
    </row>
    <row r="90" spans="1:13" x14ac:dyDescent="0.3">
      <c r="A90" s="254"/>
      <c r="B90" s="261"/>
      <c r="C90" s="2" t="s">
        <v>25</v>
      </c>
      <c r="D90" s="3">
        <v>200000</v>
      </c>
      <c r="E90" s="3">
        <v>200000</v>
      </c>
      <c r="F90" s="3">
        <f>'2019.10.31.'!F90</f>
        <v>0</v>
      </c>
      <c r="G90" s="3"/>
      <c r="H90" s="3"/>
      <c r="I90" s="3"/>
      <c r="J90" s="3">
        <f>'2019.10.31.'!I90</f>
        <v>0</v>
      </c>
      <c r="K90" s="20">
        <f t="shared" si="25"/>
        <v>200000</v>
      </c>
      <c r="L90" s="108">
        <v>200000</v>
      </c>
      <c r="M90" s="3">
        <f t="shared" si="26"/>
        <v>0</v>
      </c>
    </row>
    <row r="91" spans="1:13" x14ac:dyDescent="0.3">
      <c r="A91" s="254"/>
      <c r="B91" s="261"/>
      <c r="C91" s="2" t="s">
        <v>26</v>
      </c>
      <c r="D91" s="3">
        <v>10000</v>
      </c>
      <c r="E91" s="3">
        <v>10000</v>
      </c>
      <c r="F91" s="3">
        <f>'2019.10.31.'!F91</f>
        <v>0</v>
      </c>
      <c r="G91" s="3"/>
      <c r="H91" s="3"/>
      <c r="I91" s="3"/>
      <c r="J91" s="3">
        <f>'2019.10.31.'!I91</f>
        <v>0</v>
      </c>
      <c r="K91" s="20">
        <f t="shared" si="25"/>
        <v>10000</v>
      </c>
      <c r="L91" s="108">
        <v>0</v>
      </c>
      <c r="M91" s="3">
        <f t="shared" si="26"/>
        <v>10000</v>
      </c>
    </row>
    <row r="92" spans="1:13" x14ac:dyDescent="0.3">
      <c r="A92" s="254"/>
      <c r="B92" s="261"/>
      <c r="C92" s="2" t="s">
        <v>27</v>
      </c>
      <c r="D92" s="3">
        <v>198000</v>
      </c>
      <c r="E92" s="3">
        <v>198000</v>
      </c>
      <c r="F92" s="3">
        <f>'2019.10.31.'!F92</f>
        <v>0</v>
      </c>
      <c r="G92" s="3"/>
      <c r="H92" s="3"/>
      <c r="I92" s="3"/>
      <c r="J92" s="3">
        <f>'2019.10.31.'!I92</f>
        <v>0</v>
      </c>
      <c r="K92" s="20">
        <f t="shared" si="25"/>
        <v>198000</v>
      </c>
      <c r="L92" s="108">
        <v>121500</v>
      </c>
      <c r="M92" s="3">
        <f t="shared" si="26"/>
        <v>76500</v>
      </c>
    </row>
    <row r="93" spans="1:13" x14ac:dyDescent="0.3">
      <c r="A93" s="254"/>
      <c r="B93" s="261"/>
      <c r="C93" s="2" t="s">
        <v>28</v>
      </c>
      <c r="D93" s="3">
        <v>24000</v>
      </c>
      <c r="E93" s="3">
        <v>24000</v>
      </c>
      <c r="F93" s="3">
        <f>'2019.10.31.'!F93</f>
        <v>0</v>
      </c>
      <c r="G93" s="3"/>
      <c r="H93" s="3"/>
      <c r="I93" s="3"/>
      <c r="J93" s="3">
        <f>'2019.10.31.'!I93</f>
        <v>0</v>
      </c>
      <c r="K93" s="20">
        <f t="shared" si="25"/>
        <v>24000</v>
      </c>
      <c r="L93" s="108">
        <v>12000</v>
      </c>
      <c r="M93" s="3">
        <f t="shared" si="26"/>
        <v>12000</v>
      </c>
    </row>
    <row r="94" spans="1:13" x14ac:dyDescent="0.3">
      <c r="A94" s="254"/>
      <c r="B94" s="261"/>
      <c r="C94" s="2" t="s">
        <v>29</v>
      </c>
      <c r="D94" s="3">
        <v>75000</v>
      </c>
      <c r="E94" s="3">
        <v>253715</v>
      </c>
      <c r="F94" s="3">
        <f>'2019.10.31.'!F94</f>
        <v>0</v>
      </c>
      <c r="G94" s="3"/>
      <c r="H94" s="3"/>
      <c r="I94" s="3"/>
      <c r="J94" s="3">
        <f>'2019.10.31.'!I94</f>
        <v>0</v>
      </c>
      <c r="K94" s="20">
        <f t="shared" si="25"/>
        <v>253715</v>
      </c>
      <c r="L94" s="108">
        <v>82715</v>
      </c>
      <c r="M94" s="3">
        <f t="shared" si="26"/>
        <v>171000</v>
      </c>
    </row>
    <row r="95" spans="1:13" x14ac:dyDescent="0.3">
      <c r="A95" s="254"/>
      <c r="B95" s="261"/>
      <c r="C95" s="2" t="s">
        <v>30</v>
      </c>
      <c r="D95" s="3">
        <v>0</v>
      </c>
      <c r="E95" s="3">
        <v>0</v>
      </c>
      <c r="F95" s="3">
        <f>'2019.10.31.'!F95+6878</f>
        <v>6878</v>
      </c>
      <c r="G95" s="3"/>
      <c r="H95" s="3"/>
      <c r="I95" s="3"/>
      <c r="J95" s="3">
        <f>'2019.10.31.'!I95</f>
        <v>0</v>
      </c>
      <c r="K95" s="20">
        <f t="shared" si="25"/>
        <v>6878</v>
      </c>
      <c r="L95" s="108">
        <v>0</v>
      </c>
      <c r="M95" s="3">
        <f t="shared" si="26"/>
        <v>6878</v>
      </c>
    </row>
    <row r="96" spans="1:13" x14ac:dyDescent="0.3">
      <c r="A96" s="254"/>
      <c r="B96" s="261"/>
      <c r="C96" s="6" t="s">
        <v>53</v>
      </c>
      <c r="D96" s="7">
        <f>SUM(D89:D95)</f>
        <v>5318583</v>
      </c>
      <c r="E96" s="7">
        <v>5588180</v>
      </c>
      <c r="F96" s="7">
        <f t="shared" ref="F96:M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18575</v>
      </c>
      <c r="K96" s="7">
        <f t="shared" si="27"/>
        <v>5606755</v>
      </c>
      <c r="L96" s="110">
        <f t="shared" si="27"/>
        <v>4174767</v>
      </c>
      <c r="M96" s="7">
        <f t="shared" si="27"/>
        <v>1431988</v>
      </c>
    </row>
    <row r="97" spans="1:13" x14ac:dyDescent="0.3">
      <c r="A97" s="254"/>
      <c r="B97" s="261"/>
      <c r="C97" s="82" t="s">
        <v>31</v>
      </c>
      <c r="D97" s="83">
        <v>1035556</v>
      </c>
      <c r="E97" s="83">
        <v>1088127</v>
      </c>
      <c r="F97" s="85">
        <f>'2019.10.31.'!F97</f>
        <v>0</v>
      </c>
      <c r="G97" s="85"/>
      <c r="H97" s="85"/>
      <c r="I97" s="85"/>
      <c r="J97" s="85">
        <f>'2019.10.31.'!I97</f>
        <v>3251</v>
      </c>
      <c r="K97" s="84">
        <f t="shared" ref="K97:K107" si="28">E97+F97+G97+I97+J97</f>
        <v>1091378</v>
      </c>
      <c r="L97" s="111">
        <v>850400</v>
      </c>
      <c r="M97" s="85">
        <f t="shared" ref="M97:M107" si="29">K97-L97</f>
        <v>240978</v>
      </c>
    </row>
    <row r="98" spans="1:13" x14ac:dyDescent="0.3">
      <c r="A98" s="254"/>
      <c r="B98" s="261"/>
      <c r="C98" s="2" t="s">
        <v>32</v>
      </c>
      <c r="D98" s="3">
        <v>100000</v>
      </c>
      <c r="E98" s="3">
        <v>100000</v>
      </c>
      <c r="F98" s="3">
        <f>'2019.10.31.'!F98+204254</f>
        <v>204254</v>
      </c>
      <c r="G98" s="3"/>
      <c r="H98" s="3"/>
      <c r="I98" s="3"/>
      <c r="J98" s="3">
        <f>'2019.10.31.'!I98</f>
        <v>0</v>
      </c>
      <c r="K98" s="20">
        <f t="shared" si="28"/>
        <v>304254</v>
      </c>
      <c r="L98" s="108">
        <v>0</v>
      </c>
      <c r="M98" s="3">
        <f t="shared" si="29"/>
        <v>304254</v>
      </c>
    </row>
    <row r="99" spans="1:13" x14ac:dyDescent="0.3">
      <c r="A99" s="254"/>
      <c r="B99" s="261"/>
      <c r="C99" s="2" t="s">
        <v>33</v>
      </c>
      <c r="D99" s="3">
        <v>100000</v>
      </c>
      <c r="E99" s="3">
        <v>70000</v>
      </c>
      <c r="F99" s="3">
        <f>'2019.10.31.'!F99+18697+138788</f>
        <v>157485</v>
      </c>
      <c r="G99" s="3"/>
      <c r="H99" s="3"/>
      <c r="I99" s="3"/>
      <c r="J99" s="3">
        <f>'2019.10.31.'!I99</f>
        <v>0</v>
      </c>
      <c r="K99" s="20">
        <f t="shared" si="28"/>
        <v>227485</v>
      </c>
      <c r="L99" s="108">
        <v>0</v>
      </c>
      <c r="M99" s="3">
        <f t="shared" si="29"/>
        <v>227485</v>
      </c>
    </row>
    <row r="100" spans="1:13" x14ac:dyDescent="0.3">
      <c r="A100" s="254"/>
      <c r="B100" s="261"/>
      <c r="C100" s="2" t="s">
        <v>34</v>
      </c>
      <c r="D100" s="3">
        <v>210000</v>
      </c>
      <c r="E100" s="3">
        <v>210000</v>
      </c>
      <c r="F100" s="3">
        <f>'2019.10.31.'!F100-18697-191303</f>
        <v>-210000</v>
      </c>
      <c r="G100" s="3"/>
      <c r="H100" s="3"/>
      <c r="I100" s="3"/>
      <c r="J100" s="3">
        <f>'2019.10.31.'!I100</f>
        <v>0</v>
      </c>
      <c r="K100" s="20">
        <f t="shared" si="28"/>
        <v>0</v>
      </c>
      <c r="L100" s="108">
        <v>0</v>
      </c>
      <c r="M100" s="3">
        <f t="shared" si="29"/>
        <v>0</v>
      </c>
    </row>
    <row r="101" spans="1:13" x14ac:dyDescent="0.3">
      <c r="A101" s="254"/>
      <c r="B101" s="261"/>
      <c r="C101" s="2" t="s">
        <v>35</v>
      </c>
      <c r="D101" s="3">
        <v>110000</v>
      </c>
      <c r="E101" s="3">
        <v>110000</v>
      </c>
      <c r="F101" s="3">
        <f>'2019.10.31.'!F101-110000</f>
        <v>-110000</v>
      </c>
      <c r="G101" s="3"/>
      <c r="H101" s="3"/>
      <c r="I101" s="3"/>
      <c r="J101" s="3">
        <f>'2019.10.31.'!I101</f>
        <v>0</v>
      </c>
      <c r="K101" s="20">
        <f t="shared" si="28"/>
        <v>0</v>
      </c>
      <c r="L101" s="108">
        <v>0</v>
      </c>
      <c r="M101" s="3">
        <f t="shared" si="29"/>
        <v>0</v>
      </c>
    </row>
    <row r="102" spans="1:13" x14ac:dyDescent="0.3">
      <c r="A102" s="254"/>
      <c r="B102" s="261"/>
      <c r="C102" s="2" t="s">
        <v>36</v>
      </c>
      <c r="D102" s="3">
        <v>500000</v>
      </c>
      <c r="E102" s="3">
        <v>499100</v>
      </c>
      <c r="F102" s="3">
        <f>'2019.10.31.'!F102</f>
        <v>0</v>
      </c>
      <c r="G102" s="3"/>
      <c r="H102" s="3"/>
      <c r="I102" s="3"/>
      <c r="J102" s="3">
        <f>'2019.10.31.'!I102</f>
        <v>0</v>
      </c>
      <c r="K102" s="20">
        <f t="shared" si="28"/>
        <v>499100</v>
      </c>
      <c r="L102" s="108">
        <v>353510</v>
      </c>
      <c r="M102" s="3">
        <f t="shared" si="29"/>
        <v>145590</v>
      </c>
    </row>
    <row r="103" spans="1:13" x14ac:dyDescent="0.3">
      <c r="A103" s="254"/>
      <c r="B103" s="261"/>
      <c r="C103" s="2" t="s">
        <v>38</v>
      </c>
      <c r="D103" s="3">
        <v>140000</v>
      </c>
      <c r="E103" s="3">
        <v>135380</v>
      </c>
      <c r="F103" s="3">
        <f>'2019.10.31.'!F103-41739</f>
        <v>-41739</v>
      </c>
      <c r="G103" s="3"/>
      <c r="H103" s="3"/>
      <c r="I103" s="3"/>
      <c r="J103" s="3">
        <f>'2019.10.31.'!I103</f>
        <v>0</v>
      </c>
      <c r="K103" s="20">
        <f t="shared" si="28"/>
        <v>93641</v>
      </c>
      <c r="L103" s="108">
        <v>0</v>
      </c>
      <c r="M103" s="3">
        <f t="shared" si="29"/>
        <v>93641</v>
      </c>
    </row>
    <row r="104" spans="1:13" x14ac:dyDescent="0.3">
      <c r="A104" s="254"/>
      <c r="B104" s="261"/>
      <c r="C104" s="2" t="s">
        <v>40</v>
      </c>
      <c r="D104" s="3">
        <v>16800</v>
      </c>
      <c r="E104" s="3">
        <v>20200</v>
      </c>
      <c r="F104" s="3">
        <f>'2019.10.31.'!F104</f>
        <v>0</v>
      </c>
      <c r="G104" s="3"/>
      <c r="H104" s="3"/>
      <c r="I104" s="3"/>
      <c r="J104" s="3">
        <f>'2019.10.31.'!I104</f>
        <v>0</v>
      </c>
      <c r="K104" s="20">
        <f t="shared" si="28"/>
        <v>20200</v>
      </c>
      <c r="L104" s="108">
        <v>6800</v>
      </c>
      <c r="M104" s="3">
        <f t="shared" si="29"/>
        <v>13400</v>
      </c>
    </row>
    <row r="105" spans="1:13" x14ac:dyDescent="0.3">
      <c r="A105" s="254"/>
      <c r="B105" s="261"/>
      <c r="C105" s="2" t="s">
        <v>41</v>
      </c>
      <c r="D105" s="3">
        <v>80000</v>
      </c>
      <c r="E105" s="3">
        <v>117280</v>
      </c>
      <c r="F105" s="3">
        <f>'2019.10.31.'!F105</f>
        <v>0</v>
      </c>
      <c r="G105" s="3"/>
      <c r="H105" s="3"/>
      <c r="I105" s="3"/>
      <c r="J105" s="3">
        <f>'2019.10.31.'!I105</f>
        <v>0</v>
      </c>
      <c r="K105" s="20">
        <f t="shared" si="28"/>
        <v>117280</v>
      </c>
      <c r="L105" s="108">
        <v>87860</v>
      </c>
      <c r="M105" s="3">
        <f t="shared" si="29"/>
        <v>29420</v>
      </c>
    </row>
    <row r="106" spans="1:13" x14ac:dyDescent="0.3">
      <c r="A106" s="254"/>
      <c r="B106" s="261"/>
      <c r="C106" s="2" t="s">
        <v>42</v>
      </c>
      <c r="D106" s="3">
        <v>240000</v>
      </c>
      <c r="E106" s="3">
        <v>240000</v>
      </c>
      <c r="F106" s="3">
        <f>'2019.10.31.'!F106</f>
        <v>0</v>
      </c>
      <c r="G106" s="3"/>
      <c r="H106" s="3"/>
      <c r="I106" s="3"/>
      <c r="J106" s="3">
        <f>'2019.10.31.'!I106</f>
        <v>0</v>
      </c>
      <c r="K106" s="20">
        <f t="shared" si="28"/>
        <v>240000</v>
      </c>
      <c r="L106" s="108">
        <v>147455</v>
      </c>
      <c r="M106" s="3">
        <f t="shared" si="29"/>
        <v>92545</v>
      </c>
    </row>
    <row r="107" spans="1:13" x14ac:dyDescent="0.3">
      <c r="A107" s="254"/>
      <c r="B107" s="261"/>
      <c r="C107" s="2" t="s">
        <v>44</v>
      </c>
      <c r="D107" s="3">
        <v>200600</v>
      </c>
      <c r="E107" s="3">
        <v>195440</v>
      </c>
      <c r="F107" s="3">
        <f>'2019.10.31.'!F107</f>
        <v>0</v>
      </c>
      <c r="G107" s="3"/>
      <c r="H107" s="3"/>
      <c r="I107" s="3"/>
      <c r="J107" s="3">
        <f>'2019.10.31.'!I107</f>
        <v>0</v>
      </c>
      <c r="K107" s="20">
        <f t="shared" si="28"/>
        <v>195440</v>
      </c>
      <c r="L107" s="108">
        <v>28706</v>
      </c>
      <c r="M107" s="3">
        <f t="shared" si="29"/>
        <v>166734</v>
      </c>
    </row>
    <row r="108" spans="1:13" x14ac:dyDescent="0.3">
      <c r="A108" s="254"/>
      <c r="B108" s="261"/>
      <c r="C108" s="6" t="s">
        <v>49</v>
      </c>
      <c r="D108" s="7">
        <f>SUM(D98:D107)</f>
        <v>1697400</v>
      </c>
      <c r="E108" s="7">
        <v>1697400</v>
      </c>
      <c r="F108" s="7">
        <f t="shared" ref="F108:M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0</v>
      </c>
      <c r="K108" s="7">
        <f t="shared" si="30"/>
        <v>1697400</v>
      </c>
      <c r="L108" s="110">
        <f t="shared" si="30"/>
        <v>624331</v>
      </c>
      <c r="M108" s="7">
        <f t="shared" si="30"/>
        <v>1073069</v>
      </c>
    </row>
    <row r="109" spans="1:13" x14ac:dyDescent="0.3">
      <c r="A109" s="262" t="s">
        <v>62</v>
      </c>
      <c r="B109" s="264" t="s">
        <v>23</v>
      </c>
      <c r="C109" s="15" t="s">
        <v>29</v>
      </c>
      <c r="D109" s="24">
        <v>111600</v>
      </c>
      <c r="E109" s="24">
        <v>111600</v>
      </c>
      <c r="F109" s="3">
        <f>'2019.10.31.'!F109</f>
        <v>0</v>
      </c>
      <c r="G109" s="3"/>
      <c r="H109" s="3">
        <v>-44000</v>
      </c>
      <c r="I109" s="3"/>
      <c r="J109" s="3">
        <f>'2019.10.31.'!I109</f>
        <v>0</v>
      </c>
      <c r="K109" s="20">
        <f>E109+F109+G109+I109+J109+H109</f>
        <v>67600</v>
      </c>
      <c r="L109" s="108">
        <v>57000</v>
      </c>
      <c r="M109" s="3">
        <f t="shared" ref="M109:M112" si="31">K109-L109</f>
        <v>10600</v>
      </c>
    </row>
    <row r="110" spans="1:13" x14ac:dyDescent="0.3">
      <c r="A110" s="263"/>
      <c r="B110" s="265"/>
      <c r="C110" s="15" t="s">
        <v>31</v>
      </c>
      <c r="D110" s="24">
        <v>20739</v>
      </c>
      <c r="E110" s="24">
        <v>20739</v>
      </c>
      <c r="F110" s="3">
        <f>'2019.10.31.'!F110</f>
        <v>0</v>
      </c>
      <c r="G110" s="3"/>
      <c r="H110" s="3">
        <v>-8089</v>
      </c>
      <c r="I110" s="3"/>
      <c r="J110" s="3">
        <f>'2019.10.31.'!I110</f>
        <v>0</v>
      </c>
      <c r="K110" s="20">
        <f>E110+F110+G110+I110+J110+H110</f>
        <v>12650</v>
      </c>
      <c r="L110" s="108">
        <v>10794</v>
      </c>
      <c r="M110" s="3">
        <f t="shared" si="31"/>
        <v>1856</v>
      </c>
    </row>
    <row r="111" spans="1:13" x14ac:dyDescent="0.3">
      <c r="A111" s="262" t="s">
        <v>63</v>
      </c>
      <c r="B111" s="264" t="s">
        <v>23</v>
      </c>
      <c r="C111" s="15" t="s">
        <v>24</v>
      </c>
      <c r="D111" s="24">
        <v>1460272</v>
      </c>
      <c r="E111" s="24">
        <v>1460272</v>
      </c>
      <c r="F111" s="3">
        <f>'2019.10.31.'!F111</f>
        <v>0</v>
      </c>
      <c r="G111" s="3"/>
      <c r="H111" s="3"/>
      <c r="I111" s="3">
        <v>43958</v>
      </c>
      <c r="J111" s="3">
        <f>'2019.10.31.'!I111</f>
        <v>0</v>
      </c>
      <c r="K111" s="20">
        <f t="shared" ref="K111:K112" si="32">E111+F111+G111+I111+J111</f>
        <v>1504230</v>
      </c>
      <c r="L111" s="108">
        <v>1252536</v>
      </c>
      <c r="M111" s="3">
        <f t="shared" si="31"/>
        <v>251694</v>
      </c>
    </row>
    <row r="112" spans="1:13" x14ac:dyDescent="0.3">
      <c r="A112" s="263"/>
      <c r="B112" s="265"/>
      <c r="C112" s="15" t="s">
        <v>31</v>
      </c>
      <c r="D112" s="24">
        <v>272168</v>
      </c>
      <c r="E112" s="24">
        <v>272168</v>
      </c>
      <c r="F112" s="3">
        <f>'2019.10.31.'!F112</f>
        <v>0</v>
      </c>
      <c r="G112" s="3"/>
      <c r="H112" s="3"/>
      <c r="I112" s="3">
        <v>8572</v>
      </c>
      <c r="J112" s="3">
        <f>'2019.10.31.'!I112</f>
        <v>0</v>
      </c>
      <c r="K112" s="20">
        <f t="shared" si="32"/>
        <v>280740</v>
      </c>
      <c r="L112" s="108">
        <v>236693</v>
      </c>
      <c r="M112" s="3">
        <f t="shared" si="31"/>
        <v>44047</v>
      </c>
    </row>
    <row r="113" spans="1:13" x14ac:dyDescent="0.3">
      <c r="A113" s="319" t="s">
        <v>77</v>
      </c>
      <c r="B113" s="320"/>
      <c r="C113" s="321"/>
      <c r="D113" s="80">
        <f>SUM(D96+D97+D108+D109+D110+D111+D112)</f>
        <v>9916318</v>
      </c>
      <c r="E113" s="80">
        <f t="shared" ref="E113:M113" si="33">SUM(E96+E97+E108+E109+E110+E111+E112)</f>
        <v>10238486</v>
      </c>
      <c r="F113" s="80">
        <f t="shared" si="33"/>
        <v>0</v>
      </c>
      <c r="G113" s="80">
        <f t="shared" si="33"/>
        <v>0</v>
      </c>
      <c r="H113" s="80">
        <f t="shared" si="33"/>
        <v>-52089</v>
      </c>
      <c r="I113" s="80">
        <f t="shared" si="33"/>
        <v>52530</v>
      </c>
      <c r="J113" s="80">
        <f t="shared" si="33"/>
        <v>21826</v>
      </c>
      <c r="K113" s="80">
        <f t="shared" si="33"/>
        <v>10260753</v>
      </c>
      <c r="L113" s="112">
        <f t="shared" si="33"/>
        <v>7206521</v>
      </c>
      <c r="M113" s="80">
        <f t="shared" si="33"/>
        <v>3054232</v>
      </c>
    </row>
    <row r="114" spans="1:13" x14ac:dyDescent="0.3">
      <c r="A114" s="254" t="s">
        <v>13</v>
      </c>
      <c r="B114" s="261" t="s">
        <v>23</v>
      </c>
      <c r="C114" s="2" t="s">
        <v>24</v>
      </c>
      <c r="D114" s="3">
        <v>4871210</v>
      </c>
      <c r="E114" s="3">
        <v>5000280</v>
      </c>
      <c r="F114" s="3">
        <f>'2019.10.31.'!F114-63016-6886</f>
        <v>-69902</v>
      </c>
      <c r="G114" s="3"/>
      <c r="H114" s="3"/>
      <c r="I114" s="3"/>
      <c r="J114" s="3">
        <f>'2019.10.31.'!I114</f>
        <v>14016</v>
      </c>
      <c r="K114" s="20">
        <f t="shared" ref="K114:K119" si="34">E114+F114+G114+I114+J114</f>
        <v>4944394</v>
      </c>
      <c r="L114" s="108">
        <v>3926900</v>
      </c>
      <c r="M114" s="3">
        <f t="shared" ref="M114:M119" si="35">K114-L114</f>
        <v>1017494</v>
      </c>
    </row>
    <row r="115" spans="1:13" x14ac:dyDescent="0.3">
      <c r="A115" s="254"/>
      <c r="B115" s="261"/>
      <c r="C115" s="2" t="s">
        <v>25</v>
      </c>
      <c r="D115" s="3">
        <v>200000</v>
      </c>
      <c r="E115" s="3">
        <v>200000</v>
      </c>
      <c r="F115" s="3">
        <f>'2019.10.31.'!F115</f>
        <v>0</v>
      </c>
      <c r="G115" s="3"/>
      <c r="H115" s="3"/>
      <c r="I115" s="3"/>
      <c r="J115" s="3">
        <f>'2019.10.31.'!I115</f>
        <v>0</v>
      </c>
      <c r="K115" s="20">
        <f t="shared" si="34"/>
        <v>200000</v>
      </c>
      <c r="L115" s="108">
        <v>200000</v>
      </c>
      <c r="M115" s="3">
        <f t="shared" si="35"/>
        <v>0</v>
      </c>
    </row>
    <row r="116" spans="1:13" x14ac:dyDescent="0.3">
      <c r="A116" s="254"/>
      <c r="B116" s="261"/>
      <c r="C116" s="2" t="s">
        <v>26</v>
      </c>
      <c r="D116" s="3">
        <v>10000</v>
      </c>
      <c r="E116" s="3">
        <v>10000</v>
      </c>
      <c r="F116" s="3">
        <f>'2019.10.31.'!F116</f>
        <v>0</v>
      </c>
      <c r="G116" s="3"/>
      <c r="H116" s="3"/>
      <c r="I116" s="3"/>
      <c r="J116" s="3">
        <f>'2019.10.31.'!I116</f>
        <v>0</v>
      </c>
      <c r="K116" s="20">
        <f t="shared" si="34"/>
        <v>10000</v>
      </c>
      <c r="L116" s="108">
        <v>0</v>
      </c>
      <c r="M116" s="3">
        <f t="shared" si="35"/>
        <v>10000</v>
      </c>
    </row>
    <row r="117" spans="1:13" x14ac:dyDescent="0.3">
      <c r="A117" s="254"/>
      <c r="B117" s="261"/>
      <c r="C117" s="2" t="s">
        <v>28</v>
      </c>
      <c r="D117" s="3">
        <v>24000</v>
      </c>
      <c r="E117" s="3">
        <v>24000</v>
      </c>
      <c r="F117" s="3">
        <f>'2019.10.31.'!F117</f>
        <v>0</v>
      </c>
      <c r="G117" s="3"/>
      <c r="H117" s="3"/>
      <c r="I117" s="3"/>
      <c r="J117" s="3">
        <f>'2019.10.31.'!I117</f>
        <v>0</v>
      </c>
      <c r="K117" s="20">
        <f t="shared" si="34"/>
        <v>24000</v>
      </c>
      <c r="L117" s="108">
        <v>12000</v>
      </c>
      <c r="M117" s="3">
        <f t="shared" si="35"/>
        <v>12000</v>
      </c>
    </row>
    <row r="118" spans="1:13" x14ac:dyDescent="0.3">
      <c r="A118" s="254"/>
      <c r="B118" s="261"/>
      <c r="C118" s="2" t="s">
        <v>29</v>
      </c>
      <c r="D118" s="3">
        <v>75000</v>
      </c>
      <c r="E118" s="3">
        <v>133601</v>
      </c>
      <c r="F118" s="3">
        <f>'2019.10.31.'!F118+63016</f>
        <v>63016</v>
      </c>
      <c r="G118" s="3"/>
      <c r="H118" s="3"/>
      <c r="I118" s="3"/>
      <c r="J118" s="3">
        <f>'2019.10.31.'!I118</f>
        <v>0</v>
      </c>
      <c r="K118" s="20">
        <f t="shared" si="34"/>
        <v>196617</v>
      </c>
      <c r="L118" s="108">
        <v>32601</v>
      </c>
      <c r="M118" s="3">
        <f t="shared" si="35"/>
        <v>164016</v>
      </c>
    </row>
    <row r="119" spans="1:13" x14ac:dyDescent="0.3">
      <c r="A119" s="254"/>
      <c r="B119" s="261"/>
      <c r="C119" s="2" t="s">
        <v>30</v>
      </c>
      <c r="D119" s="3">
        <v>0</v>
      </c>
      <c r="E119" s="3">
        <v>0</v>
      </c>
      <c r="F119" s="3">
        <f>'2019.10.31.'!F119+6886</f>
        <v>6886</v>
      </c>
      <c r="G119" s="3"/>
      <c r="H119" s="3"/>
      <c r="I119" s="3"/>
      <c r="J119" s="3">
        <f>'2019.10.31.'!I119</f>
        <v>0</v>
      </c>
      <c r="K119" s="20">
        <f t="shared" si="34"/>
        <v>6886</v>
      </c>
      <c r="L119" s="108">
        <v>0</v>
      </c>
      <c r="M119" s="3">
        <f t="shared" si="35"/>
        <v>6886</v>
      </c>
    </row>
    <row r="120" spans="1:13" x14ac:dyDescent="0.3">
      <c r="A120" s="254"/>
      <c r="B120" s="261"/>
      <c r="C120" s="6" t="s">
        <v>53</v>
      </c>
      <c r="D120" s="7">
        <f>SUM(D114:D119)</f>
        <v>5180210</v>
      </c>
      <c r="E120" s="7">
        <v>5367881</v>
      </c>
      <c r="F120" s="7">
        <f t="shared" ref="F120:M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14016</v>
      </c>
      <c r="K120" s="7">
        <f t="shared" si="36"/>
        <v>5381897</v>
      </c>
      <c r="L120" s="110">
        <f t="shared" si="36"/>
        <v>4171501</v>
      </c>
      <c r="M120" s="7">
        <f t="shared" si="36"/>
        <v>1210396</v>
      </c>
    </row>
    <row r="121" spans="1:13" x14ac:dyDescent="0.3">
      <c r="A121" s="254"/>
      <c r="B121" s="261"/>
      <c r="C121" s="82" t="s">
        <v>31</v>
      </c>
      <c r="D121" s="83">
        <v>1046402</v>
      </c>
      <c r="E121" s="83">
        <v>1082997</v>
      </c>
      <c r="F121" s="85">
        <f>'2019.10.31.'!F121</f>
        <v>0</v>
      </c>
      <c r="G121" s="85"/>
      <c r="H121" s="85"/>
      <c r="I121" s="85"/>
      <c r="J121" s="85">
        <f>'2019.10.31.'!I121</f>
        <v>2452</v>
      </c>
      <c r="K121" s="84">
        <f t="shared" ref="K121:K129" si="37">E121+F121+G121+I121+J121</f>
        <v>1085449</v>
      </c>
      <c r="L121" s="111">
        <v>873037</v>
      </c>
      <c r="M121" s="85">
        <f t="shared" ref="M121:M129" si="38">K121-L121</f>
        <v>212412</v>
      </c>
    </row>
    <row r="122" spans="1:13" x14ac:dyDescent="0.3">
      <c r="A122" s="254"/>
      <c r="B122" s="261"/>
      <c r="C122" s="2" t="s">
        <v>32</v>
      </c>
      <c r="D122" s="3">
        <v>50000</v>
      </c>
      <c r="E122" s="3">
        <v>50000</v>
      </c>
      <c r="F122" s="3">
        <f>'2019.10.31.'!F122</f>
        <v>0</v>
      </c>
      <c r="G122" s="3"/>
      <c r="H122" s="3"/>
      <c r="I122" s="3"/>
      <c r="J122" s="3">
        <f>'2019.10.31.'!I122</f>
        <v>0</v>
      </c>
      <c r="K122" s="20">
        <f t="shared" si="37"/>
        <v>50000</v>
      </c>
      <c r="L122" s="108">
        <v>0</v>
      </c>
      <c r="M122" s="3">
        <f t="shared" si="38"/>
        <v>50000</v>
      </c>
    </row>
    <row r="123" spans="1:13" x14ac:dyDescent="0.3">
      <c r="A123" s="254"/>
      <c r="B123" s="261"/>
      <c r="C123" s="2" t="s">
        <v>33</v>
      </c>
      <c r="D123" s="3">
        <v>100000</v>
      </c>
      <c r="E123" s="3">
        <v>70000</v>
      </c>
      <c r="F123" s="3">
        <f>'2019.10.31.'!F123</f>
        <v>0</v>
      </c>
      <c r="G123" s="3"/>
      <c r="H123" s="3"/>
      <c r="I123" s="3"/>
      <c r="J123" s="3">
        <f>'2019.10.31.'!I123</f>
        <v>0</v>
      </c>
      <c r="K123" s="20">
        <f t="shared" si="37"/>
        <v>70000</v>
      </c>
      <c r="L123" s="108">
        <v>0</v>
      </c>
      <c r="M123" s="3">
        <f t="shared" si="38"/>
        <v>70000</v>
      </c>
    </row>
    <row r="124" spans="1:13" x14ac:dyDescent="0.3">
      <c r="A124" s="254"/>
      <c r="B124" s="261"/>
      <c r="C124" s="2" t="s">
        <v>34</v>
      </c>
      <c r="D124" s="3">
        <v>150000</v>
      </c>
      <c r="E124" s="3">
        <v>116000</v>
      </c>
      <c r="F124" s="3">
        <f>'2019.10.31.'!F124</f>
        <v>0</v>
      </c>
      <c r="G124" s="3"/>
      <c r="H124" s="3"/>
      <c r="I124" s="3"/>
      <c r="J124" s="3">
        <f>'2019.10.31.'!I124</f>
        <v>0</v>
      </c>
      <c r="K124" s="20">
        <f t="shared" si="37"/>
        <v>116000</v>
      </c>
      <c r="L124" s="108">
        <v>0</v>
      </c>
      <c r="M124" s="3">
        <f t="shared" si="38"/>
        <v>116000</v>
      </c>
    </row>
    <row r="125" spans="1:13" x14ac:dyDescent="0.3">
      <c r="A125" s="254"/>
      <c r="B125" s="261"/>
      <c r="C125" s="2" t="s">
        <v>38</v>
      </c>
      <c r="D125" s="3">
        <v>50000</v>
      </c>
      <c r="E125" s="3">
        <v>46600</v>
      </c>
      <c r="F125" s="3">
        <f>'2019.10.31.'!F125</f>
        <v>0</v>
      </c>
      <c r="G125" s="3"/>
      <c r="H125" s="3"/>
      <c r="I125" s="3"/>
      <c r="J125" s="3">
        <f>'2019.10.31.'!I125</f>
        <v>0</v>
      </c>
      <c r="K125" s="20">
        <f t="shared" si="37"/>
        <v>46600</v>
      </c>
      <c r="L125" s="108">
        <v>0</v>
      </c>
      <c r="M125" s="3">
        <f t="shared" si="38"/>
        <v>46600</v>
      </c>
    </row>
    <row r="126" spans="1:13" x14ac:dyDescent="0.3">
      <c r="A126" s="254"/>
      <c r="B126" s="261"/>
      <c r="C126" s="2" t="s">
        <v>40</v>
      </c>
      <c r="D126" s="3">
        <v>16800</v>
      </c>
      <c r="E126" s="3">
        <v>20200</v>
      </c>
      <c r="F126" s="3">
        <f>'2019.10.31.'!F126</f>
        <v>0</v>
      </c>
      <c r="G126" s="3"/>
      <c r="H126" s="3"/>
      <c r="I126" s="3"/>
      <c r="J126" s="3">
        <f>'2019.10.31.'!I126</f>
        <v>0</v>
      </c>
      <c r="K126" s="20">
        <f t="shared" si="37"/>
        <v>20200</v>
      </c>
      <c r="L126" s="108">
        <v>6800</v>
      </c>
      <c r="M126" s="3">
        <f t="shared" si="38"/>
        <v>13400</v>
      </c>
    </row>
    <row r="127" spans="1:13" x14ac:dyDescent="0.3">
      <c r="A127" s="254"/>
      <c r="B127" s="261"/>
      <c r="C127" s="2" t="s">
        <v>41</v>
      </c>
      <c r="D127" s="3">
        <v>0</v>
      </c>
      <c r="E127" s="3">
        <v>70280</v>
      </c>
      <c r="F127" s="3">
        <f>'2019.10.31.'!F127</f>
        <v>0</v>
      </c>
      <c r="G127" s="3"/>
      <c r="H127" s="3"/>
      <c r="I127" s="3"/>
      <c r="J127" s="3">
        <f>'2019.10.31.'!I127</f>
        <v>0</v>
      </c>
      <c r="K127" s="20">
        <f t="shared" si="37"/>
        <v>70280</v>
      </c>
      <c r="L127" s="108">
        <v>40860</v>
      </c>
      <c r="M127" s="3">
        <f t="shared" si="38"/>
        <v>29420</v>
      </c>
    </row>
    <row r="128" spans="1:13" x14ac:dyDescent="0.3">
      <c r="A128" s="254"/>
      <c r="B128" s="261"/>
      <c r="C128" s="2" t="s">
        <v>42</v>
      </c>
      <c r="D128" s="3">
        <v>240000</v>
      </c>
      <c r="E128" s="3">
        <v>233720</v>
      </c>
      <c r="F128" s="3">
        <f>'2019.10.31.'!F128</f>
        <v>0</v>
      </c>
      <c r="G128" s="3"/>
      <c r="H128" s="3"/>
      <c r="I128" s="3"/>
      <c r="J128" s="3">
        <f>'2019.10.31.'!I128</f>
        <v>0</v>
      </c>
      <c r="K128" s="20">
        <f t="shared" si="37"/>
        <v>233720</v>
      </c>
      <c r="L128" s="108">
        <v>119445</v>
      </c>
      <c r="M128" s="3">
        <f t="shared" si="38"/>
        <v>114275</v>
      </c>
    </row>
    <row r="129" spans="1:13" x14ac:dyDescent="0.3">
      <c r="A129" s="254"/>
      <c r="B129" s="261"/>
      <c r="C129" s="2" t="s">
        <v>44</v>
      </c>
      <c r="D129" s="3">
        <v>94500</v>
      </c>
      <c r="E129" s="3">
        <v>94500</v>
      </c>
      <c r="F129" s="3">
        <f>'2019.10.31.'!F129</f>
        <v>0</v>
      </c>
      <c r="G129" s="3"/>
      <c r="H129" s="3"/>
      <c r="I129" s="3"/>
      <c r="J129" s="3">
        <f>'2019.10.31.'!I129</f>
        <v>0</v>
      </c>
      <c r="K129" s="20">
        <f t="shared" si="37"/>
        <v>94500</v>
      </c>
      <c r="L129" s="108">
        <v>11031</v>
      </c>
      <c r="M129" s="3">
        <f t="shared" si="38"/>
        <v>83469</v>
      </c>
    </row>
    <row r="130" spans="1:13" x14ac:dyDescent="0.3">
      <c r="A130" s="254"/>
      <c r="B130" s="261"/>
      <c r="C130" s="6" t="s">
        <v>49</v>
      </c>
      <c r="D130" s="7">
        <f>SUM(D122:D129)</f>
        <v>701300</v>
      </c>
      <c r="E130" s="7">
        <v>701300</v>
      </c>
      <c r="F130" s="7">
        <f t="shared" ref="F130:M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0</v>
      </c>
      <c r="K130" s="7">
        <f t="shared" si="39"/>
        <v>701300</v>
      </c>
      <c r="L130" s="110">
        <f t="shared" si="39"/>
        <v>178136</v>
      </c>
      <c r="M130" s="7">
        <f t="shared" si="39"/>
        <v>523164</v>
      </c>
    </row>
    <row r="131" spans="1:13" x14ac:dyDescent="0.3">
      <c r="A131" s="262" t="s">
        <v>64</v>
      </c>
      <c r="B131" s="264" t="s">
        <v>23</v>
      </c>
      <c r="C131" s="15" t="s">
        <v>29</v>
      </c>
      <c r="D131" s="24">
        <v>39600</v>
      </c>
      <c r="E131" s="24">
        <v>39600</v>
      </c>
      <c r="F131" s="3">
        <f>'2019.10.31.'!F131</f>
        <v>0</v>
      </c>
      <c r="G131" s="3"/>
      <c r="H131" s="3">
        <f>-1+1</f>
        <v>0</v>
      </c>
      <c r="I131" s="3"/>
      <c r="J131" s="3">
        <f>'2019.10.31.'!I131</f>
        <v>0</v>
      </c>
      <c r="K131" s="20">
        <f>E131+F131+G131+I131+J131+H131</f>
        <v>39600</v>
      </c>
      <c r="L131" s="108">
        <v>33000</v>
      </c>
      <c r="M131" s="3">
        <f t="shared" ref="M131:M134" si="40">K131-L131</f>
        <v>6600</v>
      </c>
    </row>
    <row r="132" spans="1:13" x14ac:dyDescent="0.3">
      <c r="A132" s="263"/>
      <c r="B132" s="265"/>
      <c r="C132" s="15" t="s">
        <v>31</v>
      </c>
      <c r="D132" s="24">
        <v>7359</v>
      </c>
      <c r="E132" s="24">
        <v>7359</v>
      </c>
      <c r="F132" s="3">
        <f>'2019.10.31.'!F132</f>
        <v>0</v>
      </c>
      <c r="G132" s="3"/>
      <c r="H132" s="3">
        <f>33-1</f>
        <v>32</v>
      </c>
      <c r="I132" s="3"/>
      <c r="J132" s="3">
        <f>'2019.10.31.'!I132</f>
        <v>0</v>
      </c>
      <c r="K132" s="20">
        <f>E132+F132+G132+I132+J132+H132</f>
        <v>7391</v>
      </c>
      <c r="L132" s="108">
        <v>6238</v>
      </c>
      <c r="M132" s="3">
        <f t="shared" si="40"/>
        <v>1153</v>
      </c>
    </row>
    <row r="133" spans="1:13" x14ac:dyDescent="0.3">
      <c r="A133" s="262" t="s">
        <v>65</v>
      </c>
      <c r="B133" s="264" t="s">
        <v>23</v>
      </c>
      <c r="C133" s="15" t="s">
        <v>24</v>
      </c>
      <c r="D133" s="24">
        <v>1357158</v>
      </c>
      <c r="E133" s="24">
        <v>1357158</v>
      </c>
      <c r="F133" s="3">
        <f>'2019.10.31.'!F133</f>
        <v>0</v>
      </c>
      <c r="G133" s="3"/>
      <c r="H133" s="3"/>
      <c r="I133" s="3">
        <v>1075</v>
      </c>
      <c r="J133" s="3">
        <f>'2019.10.31.'!I133</f>
        <v>0</v>
      </c>
      <c r="K133" s="20">
        <f t="shared" ref="K133:K134" si="41">E133+F133+G133+I133+J133</f>
        <v>1358233</v>
      </c>
      <c r="L133" s="108">
        <v>1131860</v>
      </c>
      <c r="M133" s="3">
        <f t="shared" si="40"/>
        <v>226373</v>
      </c>
    </row>
    <row r="134" spans="1:13" x14ac:dyDescent="0.3">
      <c r="A134" s="263"/>
      <c r="B134" s="265"/>
      <c r="C134" s="15" t="s">
        <v>31</v>
      </c>
      <c r="D134" s="24">
        <v>253327</v>
      </c>
      <c r="E134" s="24">
        <v>253327</v>
      </c>
      <c r="F134" s="3">
        <f>'2019.10.31.'!F134</f>
        <v>0</v>
      </c>
      <c r="G134" s="3"/>
      <c r="H134" s="3"/>
      <c r="I134" s="3">
        <v>206</v>
      </c>
      <c r="J134" s="3">
        <f>'2019.10.31.'!I134</f>
        <v>0</v>
      </c>
      <c r="K134" s="20">
        <f t="shared" si="41"/>
        <v>253533</v>
      </c>
      <c r="L134" s="108">
        <v>213917</v>
      </c>
      <c r="M134" s="3">
        <f t="shared" si="40"/>
        <v>39616</v>
      </c>
    </row>
    <row r="135" spans="1:13" x14ac:dyDescent="0.3">
      <c r="A135" s="319" t="s">
        <v>78</v>
      </c>
      <c r="B135" s="320"/>
      <c r="C135" s="321"/>
      <c r="D135" s="80">
        <f>SUM(D120+D121+D130+D131+D132+D133+D134)</f>
        <v>8585356</v>
      </c>
      <c r="E135" s="80">
        <f t="shared" ref="E135:M135" si="42">SUM(E120+E121+E130+E131+E132+E133+E134)</f>
        <v>8809622</v>
      </c>
      <c r="F135" s="80">
        <f t="shared" si="42"/>
        <v>0</v>
      </c>
      <c r="G135" s="80">
        <f t="shared" si="42"/>
        <v>0</v>
      </c>
      <c r="H135" s="80">
        <f t="shared" si="42"/>
        <v>32</v>
      </c>
      <c r="I135" s="80">
        <f t="shared" si="42"/>
        <v>1281</v>
      </c>
      <c r="J135" s="80">
        <f t="shared" si="42"/>
        <v>16468</v>
      </c>
      <c r="K135" s="80">
        <f t="shared" si="42"/>
        <v>8827403</v>
      </c>
      <c r="L135" s="112">
        <f t="shared" si="42"/>
        <v>6607689</v>
      </c>
      <c r="M135" s="80">
        <f t="shared" si="42"/>
        <v>2219714</v>
      </c>
    </row>
    <row r="136" spans="1:13" x14ac:dyDescent="0.3">
      <c r="A136" s="254" t="s">
        <v>14</v>
      </c>
      <c r="B136" s="261" t="s">
        <v>23</v>
      </c>
      <c r="C136" s="2" t="s">
        <v>24</v>
      </c>
      <c r="D136" s="3">
        <v>4756797</v>
      </c>
      <c r="E136" s="3">
        <v>4957079</v>
      </c>
      <c r="F136" s="3">
        <f>'2019.10.31.'!F136-6878</f>
        <v>-6878</v>
      </c>
      <c r="G136" s="3"/>
      <c r="H136" s="3"/>
      <c r="I136" s="3"/>
      <c r="J136" s="3">
        <f>'2019.10.31.'!I136</f>
        <v>9580</v>
      </c>
      <c r="K136" s="20">
        <f t="shared" ref="K136:K142" si="43">E136+F136+G136+I136+J136</f>
        <v>4959781</v>
      </c>
      <c r="L136" s="108">
        <v>3751578</v>
      </c>
      <c r="M136" s="3">
        <f t="shared" ref="M136:M142" si="44">K136-L136</f>
        <v>1208203</v>
      </c>
    </row>
    <row r="137" spans="1:13" x14ac:dyDescent="0.3">
      <c r="A137" s="254"/>
      <c r="B137" s="261"/>
      <c r="C137" s="2" t="s">
        <v>25</v>
      </c>
      <c r="D137" s="3">
        <v>200000</v>
      </c>
      <c r="E137" s="3">
        <v>200000</v>
      </c>
      <c r="F137" s="3">
        <f>'2019.10.31.'!F137</f>
        <v>0</v>
      </c>
      <c r="G137" s="3"/>
      <c r="H137" s="3"/>
      <c r="I137" s="3"/>
      <c r="J137" s="3">
        <f>'2019.10.31.'!I137</f>
        <v>0</v>
      </c>
      <c r="K137" s="20">
        <f t="shared" si="43"/>
        <v>200000</v>
      </c>
      <c r="L137" s="108">
        <v>200000</v>
      </c>
      <c r="M137" s="3">
        <f t="shared" si="44"/>
        <v>0</v>
      </c>
    </row>
    <row r="138" spans="1:13" x14ac:dyDescent="0.3">
      <c r="A138" s="254"/>
      <c r="B138" s="261"/>
      <c r="C138" s="2" t="s">
        <v>26</v>
      </c>
      <c r="D138" s="3">
        <v>10000</v>
      </c>
      <c r="E138" s="3">
        <v>10000</v>
      </c>
      <c r="F138" s="3">
        <f>'2019.10.31.'!F138</f>
        <v>0</v>
      </c>
      <c r="G138" s="3"/>
      <c r="H138" s="3"/>
      <c r="I138" s="3"/>
      <c r="J138" s="3">
        <f>'2019.10.31.'!I138</f>
        <v>0</v>
      </c>
      <c r="K138" s="20">
        <f t="shared" si="43"/>
        <v>10000</v>
      </c>
      <c r="L138" s="108">
        <v>0</v>
      </c>
      <c r="M138" s="3">
        <f t="shared" si="44"/>
        <v>10000</v>
      </c>
    </row>
    <row r="139" spans="1:13" x14ac:dyDescent="0.3">
      <c r="A139" s="254"/>
      <c r="B139" s="261"/>
      <c r="C139" s="2" t="s">
        <v>27</v>
      </c>
      <c r="D139" s="3">
        <v>255000</v>
      </c>
      <c r="E139" s="3">
        <v>255000</v>
      </c>
      <c r="F139" s="3">
        <f>'2019.10.31.'!F139</f>
        <v>0</v>
      </c>
      <c r="G139" s="3"/>
      <c r="H139" s="3"/>
      <c r="I139" s="3"/>
      <c r="J139" s="3">
        <f>'2019.10.31.'!I139</f>
        <v>0</v>
      </c>
      <c r="K139" s="20">
        <f t="shared" si="43"/>
        <v>255000</v>
      </c>
      <c r="L139" s="108">
        <v>170406</v>
      </c>
      <c r="M139" s="3">
        <f t="shared" si="44"/>
        <v>84594</v>
      </c>
    </row>
    <row r="140" spans="1:13" x14ac:dyDescent="0.3">
      <c r="A140" s="254"/>
      <c r="B140" s="261"/>
      <c r="C140" s="2" t="s">
        <v>28</v>
      </c>
      <c r="D140" s="3">
        <v>24000</v>
      </c>
      <c r="E140" s="3">
        <v>24000</v>
      </c>
      <c r="F140" s="3">
        <f>'2019.10.31.'!F140</f>
        <v>0</v>
      </c>
      <c r="G140" s="3"/>
      <c r="H140" s="3"/>
      <c r="I140" s="3"/>
      <c r="J140" s="3">
        <f>'2019.10.31.'!I140</f>
        <v>0</v>
      </c>
      <c r="K140" s="20">
        <f t="shared" si="43"/>
        <v>24000</v>
      </c>
      <c r="L140" s="108">
        <v>12000</v>
      </c>
      <c r="M140" s="3">
        <f t="shared" si="44"/>
        <v>12000</v>
      </c>
    </row>
    <row r="141" spans="1:13" x14ac:dyDescent="0.3">
      <c r="A141" s="254"/>
      <c r="B141" s="261"/>
      <c r="C141" s="2" t="s">
        <v>29</v>
      </c>
      <c r="D141" s="3">
        <v>0</v>
      </c>
      <c r="E141" s="3">
        <v>128307</v>
      </c>
      <c r="F141" s="3">
        <f>'2019.10.31.'!F141</f>
        <v>0</v>
      </c>
      <c r="G141" s="3"/>
      <c r="H141" s="3"/>
      <c r="I141" s="3"/>
      <c r="J141" s="3">
        <f>'2019.10.31.'!I141</f>
        <v>0</v>
      </c>
      <c r="K141" s="20">
        <f t="shared" si="43"/>
        <v>128307</v>
      </c>
      <c r="L141" s="108">
        <v>102307</v>
      </c>
      <c r="M141" s="3">
        <f t="shared" si="44"/>
        <v>26000</v>
      </c>
    </row>
    <row r="142" spans="1:13" x14ac:dyDescent="0.3">
      <c r="A142" s="254"/>
      <c r="B142" s="261"/>
      <c r="C142" s="2" t="s">
        <v>30</v>
      </c>
      <c r="D142" s="3">
        <v>0</v>
      </c>
      <c r="E142" s="3">
        <v>0</v>
      </c>
      <c r="F142" s="3">
        <f>'2019.10.31.'!F142+6878</f>
        <v>6878</v>
      </c>
      <c r="G142" s="3"/>
      <c r="H142" s="3"/>
      <c r="I142" s="3"/>
      <c r="J142" s="3">
        <f>'2019.10.31.'!I142</f>
        <v>0</v>
      </c>
      <c r="K142" s="20">
        <f t="shared" si="43"/>
        <v>6878</v>
      </c>
      <c r="L142" s="108">
        <v>0</v>
      </c>
      <c r="M142" s="3">
        <f t="shared" si="44"/>
        <v>6878</v>
      </c>
    </row>
    <row r="143" spans="1:13" x14ac:dyDescent="0.3">
      <c r="A143" s="254"/>
      <c r="B143" s="261"/>
      <c r="C143" s="6" t="s">
        <v>53</v>
      </c>
      <c r="D143" s="7">
        <f>SUM(D136:D142)</f>
        <v>5245797</v>
      </c>
      <c r="E143" s="7">
        <v>5574386</v>
      </c>
      <c r="F143" s="7">
        <f t="shared" ref="F143:M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9580</v>
      </c>
      <c r="K143" s="7">
        <f t="shared" si="45"/>
        <v>5583966</v>
      </c>
      <c r="L143" s="110">
        <f t="shared" si="45"/>
        <v>4236291</v>
      </c>
      <c r="M143" s="7">
        <f t="shared" si="45"/>
        <v>1347675</v>
      </c>
    </row>
    <row r="144" spans="1:13" x14ac:dyDescent="0.3">
      <c r="A144" s="254"/>
      <c r="B144" s="261"/>
      <c r="C144" s="82" t="s">
        <v>31</v>
      </c>
      <c r="D144" s="83">
        <v>1025121</v>
      </c>
      <c r="E144" s="83">
        <v>1089196</v>
      </c>
      <c r="F144" s="85">
        <f>'2019.10.31.'!F144</f>
        <v>0</v>
      </c>
      <c r="G144" s="85"/>
      <c r="H144" s="85"/>
      <c r="I144" s="85"/>
      <c r="J144" s="85">
        <f>'2019.10.31.'!I144</f>
        <v>1677</v>
      </c>
      <c r="K144" s="84">
        <f t="shared" ref="K144:K152" si="46">E144+F144+G144+I144+J144</f>
        <v>1090873</v>
      </c>
      <c r="L144" s="111">
        <v>852858</v>
      </c>
      <c r="M144" s="85">
        <f t="shared" ref="M144:M152" si="47">K144-L144</f>
        <v>238015</v>
      </c>
    </row>
    <row r="145" spans="1:13" x14ac:dyDescent="0.3">
      <c r="A145" s="254"/>
      <c r="B145" s="261"/>
      <c r="C145" s="2" t="s">
        <v>32</v>
      </c>
      <c r="D145" s="3">
        <v>80000</v>
      </c>
      <c r="E145" s="3">
        <v>80000</v>
      </c>
      <c r="F145" s="3">
        <f>'2019.10.31.'!F145</f>
        <v>0</v>
      </c>
      <c r="G145" s="3"/>
      <c r="H145" s="3"/>
      <c r="I145" s="3"/>
      <c r="J145" s="3">
        <f>'2019.10.31.'!I145</f>
        <v>0</v>
      </c>
      <c r="K145" s="20">
        <f t="shared" si="46"/>
        <v>80000</v>
      </c>
      <c r="L145" s="108">
        <v>0</v>
      </c>
      <c r="M145" s="3">
        <f t="shared" si="47"/>
        <v>80000</v>
      </c>
    </row>
    <row r="146" spans="1:13" x14ac:dyDescent="0.3">
      <c r="A146" s="254"/>
      <c r="B146" s="261"/>
      <c r="C146" s="2" t="s">
        <v>33</v>
      </c>
      <c r="D146" s="3">
        <v>110000</v>
      </c>
      <c r="E146" s="3">
        <v>50000</v>
      </c>
      <c r="F146" s="3">
        <f>'2019.10.31.'!F146+50000</f>
        <v>50000</v>
      </c>
      <c r="G146" s="3"/>
      <c r="H146" s="3"/>
      <c r="I146" s="3"/>
      <c r="J146" s="3">
        <f>'2019.10.31.'!I146</f>
        <v>0</v>
      </c>
      <c r="K146" s="20">
        <f t="shared" si="46"/>
        <v>100000</v>
      </c>
      <c r="L146" s="108">
        <v>0</v>
      </c>
      <c r="M146" s="3">
        <f t="shared" si="47"/>
        <v>100000</v>
      </c>
    </row>
    <row r="147" spans="1:13" x14ac:dyDescent="0.3">
      <c r="A147" s="254"/>
      <c r="B147" s="261"/>
      <c r="C147" s="2" t="s">
        <v>34</v>
      </c>
      <c r="D147" s="3">
        <v>150000</v>
      </c>
      <c r="E147" s="3">
        <v>136000</v>
      </c>
      <c r="F147" s="3">
        <f>'2019.10.31.'!F147-50000</f>
        <v>-50000</v>
      </c>
      <c r="G147" s="3"/>
      <c r="H147" s="3"/>
      <c r="I147" s="3"/>
      <c r="J147" s="3">
        <f>'2019.10.31.'!I147</f>
        <v>0</v>
      </c>
      <c r="K147" s="20">
        <f t="shared" si="46"/>
        <v>86000</v>
      </c>
      <c r="L147" s="108">
        <v>0</v>
      </c>
      <c r="M147" s="3">
        <f t="shared" si="47"/>
        <v>86000</v>
      </c>
    </row>
    <row r="148" spans="1:13" x14ac:dyDescent="0.3">
      <c r="A148" s="254"/>
      <c r="B148" s="261"/>
      <c r="C148" s="2" t="s">
        <v>38</v>
      </c>
      <c r="D148" s="3">
        <v>144000</v>
      </c>
      <c r="E148" s="3">
        <v>140600</v>
      </c>
      <c r="F148" s="3">
        <f>'2019.10.31.'!F148</f>
        <v>0</v>
      </c>
      <c r="G148" s="3"/>
      <c r="H148" s="3"/>
      <c r="I148" s="3"/>
      <c r="J148" s="3">
        <f>'2019.10.31.'!I148</f>
        <v>0</v>
      </c>
      <c r="K148" s="20">
        <f t="shared" si="46"/>
        <v>140600</v>
      </c>
      <c r="L148" s="108">
        <v>0</v>
      </c>
      <c r="M148" s="3">
        <f t="shared" si="47"/>
        <v>140600</v>
      </c>
    </row>
    <row r="149" spans="1:13" x14ac:dyDescent="0.3">
      <c r="A149" s="254"/>
      <c r="B149" s="261"/>
      <c r="C149" s="2" t="s">
        <v>40</v>
      </c>
      <c r="D149" s="3">
        <v>16800</v>
      </c>
      <c r="E149" s="3">
        <v>20200</v>
      </c>
      <c r="F149" s="3">
        <f>'2019.10.31.'!F149</f>
        <v>0</v>
      </c>
      <c r="G149" s="3"/>
      <c r="H149" s="3"/>
      <c r="I149" s="3"/>
      <c r="J149" s="3">
        <f>'2019.10.31.'!I149</f>
        <v>0</v>
      </c>
      <c r="K149" s="20">
        <f t="shared" si="46"/>
        <v>20200</v>
      </c>
      <c r="L149" s="108">
        <v>6800</v>
      </c>
      <c r="M149" s="3">
        <f t="shared" si="47"/>
        <v>13400</v>
      </c>
    </row>
    <row r="150" spans="1:13" x14ac:dyDescent="0.3">
      <c r="A150" s="254"/>
      <c r="B150" s="261"/>
      <c r="C150" s="2" t="s">
        <v>41</v>
      </c>
      <c r="D150" s="3">
        <v>40000</v>
      </c>
      <c r="E150" s="3">
        <v>120280</v>
      </c>
      <c r="F150" s="3">
        <f>'2019.10.31.'!F150</f>
        <v>0</v>
      </c>
      <c r="G150" s="3"/>
      <c r="H150" s="3"/>
      <c r="I150" s="3"/>
      <c r="J150" s="3">
        <f>'2019.10.31.'!I150</f>
        <v>0</v>
      </c>
      <c r="K150" s="20">
        <f t="shared" si="46"/>
        <v>120280</v>
      </c>
      <c r="L150" s="108">
        <v>80860</v>
      </c>
      <c r="M150" s="3">
        <f t="shared" si="47"/>
        <v>39420</v>
      </c>
    </row>
    <row r="151" spans="1:13" x14ac:dyDescent="0.3">
      <c r="A151" s="254"/>
      <c r="B151" s="261"/>
      <c r="C151" s="2" t="s">
        <v>42</v>
      </c>
      <c r="D151" s="3">
        <v>150000</v>
      </c>
      <c r="E151" s="3">
        <v>143720</v>
      </c>
      <c r="F151" s="3">
        <f>'2019.10.31.'!F151</f>
        <v>0</v>
      </c>
      <c r="G151" s="3"/>
      <c r="H151" s="3"/>
      <c r="I151" s="3"/>
      <c r="J151" s="3">
        <f>'2019.10.31.'!I151</f>
        <v>0</v>
      </c>
      <c r="K151" s="20">
        <f t="shared" si="46"/>
        <v>143720</v>
      </c>
      <c r="L151" s="108">
        <v>90600</v>
      </c>
      <c r="M151" s="3">
        <f t="shared" si="47"/>
        <v>53120</v>
      </c>
    </row>
    <row r="152" spans="1:13" x14ac:dyDescent="0.3">
      <c r="A152" s="254"/>
      <c r="B152" s="261"/>
      <c r="C152" s="2" t="s">
        <v>44</v>
      </c>
      <c r="D152" s="3">
        <v>141480</v>
      </c>
      <c r="E152" s="3">
        <v>141480</v>
      </c>
      <c r="F152" s="3">
        <f>'2019.10.31.'!F152</f>
        <v>0</v>
      </c>
      <c r="G152" s="3"/>
      <c r="H152" s="3"/>
      <c r="I152" s="3"/>
      <c r="J152" s="3">
        <f>'2019.10.31.'!I152</f>
        <v>0</v>
      </c>
      <c r="K152" s="20">
        <f t="shared" si="46"/>
        <v>141480</v>
      </c>
      <c r="L152" s="108">
        <v>11033</v>
      </c>
      <c r="M152" s="3">
        <f t="shared" si="47"/>
        <v>130447</v>
      </c>
    </row>
    <row r="153" spans="1:13" x14ac:dyDescent="0.3">
      <c r="A153" s="254"/>
      <c r="B153" s="261"/>
      <c r="C153" s="6" t="s">
        <v>49</v>
      </c>
      <c r="D153" s="7">
        <f>SUM(D145:D152)</f>
        <v>832280</v>
      </c>
      <c r="E153" s="7">
        <v>832280</v>
      </c>
      <c r="F153" s="7">
        <f t="shared" ref="F153:M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0</v>
      </c>
      <c r="K153" s="7">
        <f t="shared" si="48"/>
        <v>832280</v>
      </c>
      <c r="L153" s="110">
        <f t="shared" si="48"/>
        <v>189293</v>
      </c>
      <c r="M153" s="7">
        <f t="shared" si="48"/>
        <v>642987</v>
      </c>
    </row>
    <row r="154" spans="1:13" x14ac:dyDescent="0.3">
      <c r="A154" s="262" t="s">
        <v>66</v>
      </c>
      <c r="B154" s="264" t="s">
        <v>23</v>
      </c>
      <c r="C154" s="15" t="s">
        <v>24</v>
      </c>
      <c r="D154" s="24">
        <v>832628</v>
      </c>
      <c r="E154" s="24">
        <v>832628</v>
      </c>
      <c r="F154" s="3">
        <f>'2019.10.31.'!F154</f>
        <v>0</v>
      </c>
      <c r="G154" s="3"/>
      <c r="H154" s="3"/>
      <c r="I154" s="3">
        <v>-10559</v>
      </c>
      <c r="J154" s="3">
        <f>'2019.10.31.'!I154</f>
        <v>0</v>
      </c>
      <c r="K154" s="20">
        <f t="shared" ref="K154:K155" si="49">E154+F154+G154+I154+J154</f>
        <v>822069</v>
      </c>
      <c r="L154" s="108">
        <v>683020</v>
      </c>
      <c r="M154" s="3">
        <f t="shared" ref="M154:M155" si="50">K154-L154</f>
        <v>139049</v>
      </c>
    </row>
    <row r="155" spans="1:13" x14ac:dyDescent="0.3">
      <c r="A155" s="263"/>
      <c r="B155" s="265"/>
      <c r="C155" s="15" t="s">
        <v>31</v>
      </c>
      <c r="D155" s="24">
        <v>155410</v>
      </c>
      <c r="E155" s="24">
        <v>155410</v>
      </c>
      <c r="F155" s="3">
        <f>'2019.10.31.'!F155</f>
        <v>0</v>
      </c>
      <c r="G155" s="3"/>
      <c r="H155" s="3"/>
      <c r="I155" s="3">
        <v>-2059</v>
      </c>
      <c r="J155" s="3">
        <f>'2019.10.31.'!I155</f>
        <v>0</v>
      </c>
      <c r="K155" s="20">
        <f t="shared" si="49"/>
        <v>153351</v>
      </c>
      <c r="L155" s="108">
        <v>129018</v>
      </c>
      <c r="M155" s="3">
        <f t="shared" si="50"/>
        <v>24333</v>
      </c>
    </row>
    <row r="156" spans="1:13" x14ac:dyDescent="0.3">
      <c r="A156" s="319" t="s">
        <v>79</v>
      </c>
      <c r="B156" s="320"/>
      <c r="C156" s="321"/>
      <c r="D156" s="80">
        <f>SUM(D143+D144+D153+D154+D155)</f>
        <v>8091236</v>
      </c>
      <c r="E156" s="80">
        <f t="shared" ref="E156:M156" si="51">SUM(E143+E144+E153+E154+E155)</f>
        <v>8483900</v>
      </c>
      <c r="F156" s="80">
        <f t="shared" si="51"/>
        <v>0</v>
      </c>
      <c r="G156" s="80">
        <f t="shared" si="51"/>
        <v>0</v>
      </c>
      <c r="H156" s="80">
        <f t="shared" si="51"/>
        <v>0</v>
      </c>
      <c r="I156" s="80">
        <f t="shared" si="51"/>
        <v>-12618</v>
      </c>
      <c r="J156" s="80">
        <f t="shared" si="51"/>
        <v>11257</v>
      </c>
      <c r="K156" s="80">
        <f t="shared" si="51"/>
        <v>8482539</v>
      </c>
      <c r="L156" s="112">
        <f t="shared" si="51"/>
        <v>6090480</v>
      </c>
      <c r="M156" s="80">
        <f t="shared" si="51"/>
        <v>2392059</v>
      </c>
    </row>
    <row r="157" spans="1:13" x14ac:dyDescent="0.3">
      <c r="A157" s="254" t="s">
        <v>55</v>
      </c>
      <c r="B157" s="261" t="s">
        <v>23</v>
      </c>
      <c r="C157" s="10" t="s">
        <v>24</v>
      </c>
      <c r="D157" s="24">
        <v>5055869</v>
      </c>
      <c r="E157" s="24">
        <v>5275466</v>
      </c>
      <c r="F157" s="3">
        <f>'2019.10.31.'!F157-40301-6878</f>
        <v>-47179</v>
      </c>
      <c r="G157" s="3"/>
      <c r="H157" s="3"/>
      <c r="I157" s="3"/>
      <c r="J157" s="3">
        <f>'2019.10.31.'!I157</f>
        <v>0</v>
      </c>
      <c r="K157" s="20">
        <f t="shared" ref="K157:K162" si="52">E157+F157+G157+I157+J157</f>
        <v>5228287</v>
      </c>
      <c r="L157" s="108">
        <v>4070996</v>
      </c>
      <c r="M157" s="3">
        <f t="shared" ref="M157:M162" si="53">K157-L157</f>
        <v>1157291</v>
      </c>
    </row>
    <row r="158" spans="1:13" x14ac:dyDescent="0.3">
      <c r="A158" s="254"/>
      <c r="B158" s="261"/>
      <c r="C158" s="10" t="s">
        <v>25</v>
      </c>
      <c r="D158" s="24">
        <v>425000</v>
      </c>
      <c r="E158" s="24">
        <v>425000</v>
      </c>
      <c r="F158" s="3">
        <f>'2019.10.31.'!F158</f>
        <v>0</v>
      </c>
      <c r="G158" s="3"/>
      <c r="H158" s="3"/>
      <c r="I158" s="3"/>
      <c r="J158" s="3">
        <f>'2019.10.31.'!I158</f>
        <v>0</v>
      </c>
      <c r="K158" s="20">
        <f t="shared" si="52"/>
        <v>425000</v>
      </c>
      <c r="L158" s="108">
        <v>402500</v>
      </c>
      <c r="M158" s="3">
        <f t="shared" si="53"/>
        <v>22500</v>
      </c>
    </row>
    <row r="159" spans="1:13" x14ac:dyDescent="0.3">
      <c r="A159" s="254"/>
      <c r="B159" s="261"/>
      <c r="C159" s="10" t="s">
        <v>26</v>
      </c>
      <c r="D159" s="24">
        <v>10000</v>
      </c>
      <c r="E159" s="24">
        <v>10000</v>
      </c>
      <c r="F159" s="3">
        <f>'2019.10.31.'!F159</f>
        <v>0</v>
      </c>
      <c r="G159" s="3"/>
      <c r="H159" s="3"/>
      <c r="I159" s="3"/>
      <c r="J159" s="3">
        <f>'2019.10.31.'!I159</f>
        <v>0</v>
      </c>
      <c r="K159" s="20">
        <f t="shared" si="52"/>
        <v>10000</v>
      </c>
      <c r="L159" s="108">
        <v>0</v>
      </c>
      <c r="M159" s="3">
        <f t="shared" si="53"/>
        <v>10000</v>
      </c>
    </row>
    <row r="160" spans="1:13" x14ac:dyDescent="0.3">
      <c r="A160" s="254"/>
      <c r="B160" s="261"/>
      <c r="C160" s="10" t="s">
        <v>28</v>
      </c>
      <c r="D160" s="24">
        <v>24000</v>
      </c>
      <c r="E160" s="24">
        <v>24000</v>
      </c>
      <c r="F160" s="3">
        <f>'2019.10.31.'!F160</f>
        <v>0</v>
      </c>
      <c r="G160" s="3"/>
      <c r="H160" s="3"/>
      <c r="I160" s="3"/>
      <c r="J160" s="3">
        <f>'2019.10.31.'!I160</f>
        <v>0</v>
      </c>
      <c r="K160" s="20">
        <f t="shared" si="52"/>
        <v>24000</v>
      </c>
      <c r="L160" s="108">
        <v>12000</v>
      </c>
      <c r="M160" s="3">
        <f t="shared" si="53"/>
        <v>12000</v>
      </c>
    </row>
    <row r="161" spans="1:13" x14ac:dyDescent="0.3">
      <c r="A161" s="254"/>
      <c r="B161" s="261"/>
      <c r="C161" s="10" t="s">
        <v>29</v>
      </c>
      <c r="D161" s="24">
        <v>75000</v>
      </c>
      <c r="E161" s="24">
        <v>125000</v>
      </c>
      <c r="F161" s="3">
        <f>'2019.10.31.'!F161+40301</f>
        <v>40301</v>
      </c>
      <c r="G161" s="3"/>
      <c r="H161" s="3"/>
      <c r="I161" s="3"/>
      <c r="J161" s="3">
        <f>'2019.10.31.'!I161</f>
        <v>0</v>
      </c>
      <c r="K161" s="20">
        <f t="shared" si="52"/>
        <v>165301</v>
      </c>
      <c r="L161" s="108">
        <v>2000</v>
      </c>
      <c r="M161" s="3">
        <f t="shared" si="53"/>
        <v>163301</v>
      </c>
    </row>
    <row r="162" spans="1:13" x14ac:dyDescent="0.3">
      <c r="A162" s="254"/>
      <c r="B162" s="261"/>
      <c r="C162" s="10" t="s">
        <v>30</v>
      </c>
      <c r="D162" s="24">
        <v>0</v>
      </c>
      <c r="E162" s="24">
        <v>0</v>
      </c>
      <c r="F162" s="3">
        <f>'2019.10.31.'!F162+6878</f>
        <v>6878</v>
      </c>
      <c r="G162" s="3"/>
      <c r="H162" s="3"/>
      <c r="I162" s="3"/>
      <c r="J162" s="3">
        <f>'2019.10.31.'!I162</f>
        <v>0</v>
      </c>
      <c r="K162" s="20">
        <f t="shared" si="52"/>
        <v>6878</v>
      </c>
      <c r="L162" s="108">
        <v>0</v>
      </c>
      <c r="M162" s="3">
        <f t="shared" si="53"/>
        <v>6878</v>
      </c>
    </row>
    <row r="163" spans="1:13" x14ac:dyDescent="0.3">
      <c r="A163" s="254"/>
      <c r="B163" s="261"/>
      <c r="C163" s="6" t="s">
        <v>53</v>
      </c>
      <c r="D163" s="7">
        <f>SUM(D157:D162)</f>
        <v>5589869</v>
      </c>
      <c r="E163" s="7">
        <v>5859466</v>
      </c>
      <c r="F163" s="7">
        <f t="shared" ref="F163:M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0</v>
      </c>
      <c r="K163" s="7">
        <f t="shared" si="54"/>
        <v>5859466</v>
      </c>
      <c r="L163" s="110">
        <f t="shared" si="54"/>
        <v>4487496</v>
      </c>
      <c r="M163" s="7">
        <f t="shared" si="54"/>
        <v>1371970</v>
      </c>
    </row>
    <row r="164" spans="1:13" x14ac:dyDescent="0.3">
      <c r="A164" s="254"/>
      <c r="B164" s="261"/>
      <c r="C164" s="82" t="s">
        <v>31</v>
      </c>
      <c r="D164" s="83">
        <v>1124913</v>
      </c>
      <c r="E164" s="83">
        <v>1177484</v>
      </c>
      <c r="F164" s="85">
        <f>'2019.10.31.'!F164</f>
        <v>0</v>
      </c>
      <c r="G164" s="85"/>
      <c r="H164" s="85"/>
      <c r="I164" s="85"/>
      <c r="J164" s="85">
        <f>'2019.10.31.'!I164</f>
        <v>0</v>
      </c>
      <c r="K164" s="84">
        <f t="shared" ref="K164:K173" si="55">E164+F164+G164+I164+J164</f>
        <v>1177484</v>
      </c>
      <c r="L164" s="111">
        <v>932459</v>
      </c>
      <c r="M164" s="85">
        <f t="shared" ref="M164:M173" si="56">K164-L164</f>
        <v>245025</v>
      </c>
    </row>
    <row r="165" spans="1:13" x14ac:dyDescent="0.3">
      <c r="A165" s="254"/>
      <c r="B165" s="261"/>
      <c r="C165" s="10" t="s">
        <v>32</v>
      </c>
      <c r="D165" s="24">
        <v>100000</v>
      </c>
      <c r="E165" s="24">
        <v>50000</v>
      </c>
      <c r="F165" s="3">
        <f>'2019.10.31.'!F165</f>
        <v>0</v>
      </c>
      <c r="G165" s="3"/>
      <c r="H165" s="3"/>
      <c r="I165" s="3"/>
      <c r="J165" s="3">
        <f>'2019.10.31.'!I165</f>
        <v>0</v>
      </c>
      <c r="K165" s="20">
        <f t="shared" si="55"/>
        <v>50000</v>
      </c>
      <c r="L165" s="108">
        <v>0</v>
      </c>
      <c r="M165" s="3">
        <f t="shared" si="56"/>
        <v>50000</v>
      </c>
    </row>
    <row r="166" spans="1:13" x14ac:dyDescent="0.3">
      <c r="A166" s="254"/>
      <c r="B166" s="261"/>
      <c r="C166" s="10" t="s">
        <v>33</v>
      </c>
      <c r="D166" s="24">
        <v>100000</v>
      </c>
      <c r="E166" s="24">
        <v>100000</v>
      </c>
      <c r="F166" s="3">
        <f>'2019.10.31.'!F166</f>
        <v>0</v>
      </c>
      <c r="G166" s="3"/>
      <c r="H166" s="3"/>
      <c r="I166" s="3"/>
      <c r="J166" s="3">
        <f>'2019.10.31.'!I166</f>
        <v>0</v>
      </c>
      <c r="K166" s="20">
        <f t="shared" si="55"/>
        <v>100000</v>
      </c>
      <c r="L166" s="108">
        <v>4536</v>
      </c>
      <c r="M166" s="3">
        <f t="shared" si="56"/>
        <v>95464</v>
      </c>
    </row>
    <row r="167" spans="1:13" x14ac:dyDescent="0.3">
      <c r="A167" s="254"/>
      <c r="B167" s="261"/>
      <c r="C167" s="10" t="s">
        <v>34</v>
      </c>
      <c r="D167" s="24">
        <v>100000</v>
      </c>
      <c r="E167" s="24">
        <v>100000</v>
      </c>
      <c r="F167" s="3">
        <f>'2019.10.31.'!F167-50000</f>
        <v>-50000</v>
      </c>
      <c r="G167" s="3"/>
      <c r="H167" s="3"/>
      <c r="I167" s="3"/>
      <c r="J167" s="3">
        <f>'2019.10.31.'!I167</f>
        <v>0</v>
      </c>
      <c r="K167" s="20">
        <f t="shared" si="55"/>
        <v>50000</v>
      </c>
      <c r="L167" s="108">
        <v>0</v>
      </c>
      <c r="M167" s="3">
        <f t="shared" si="56"/>
        <v>50000</v>
      </c>
    </row>
    <row r="168" spans="1:13" x14ac:dyDescent="0.3">
      <c r="A168" s="254"/>
      <c r="B168" s="261"/>
      <c r="C168" s="10" t="s">
        <v>35</v>
      </c>
      <c r="D168" s="24">
        <v>50000</v>
      </c>
      <c r="E168" s="24">
        <v>50000</v>
      </c>
      <c r="F168" s="3">
        <f>'2019.10.31.'!F168</f>
        <v>0</v>
      </c>
      <c r="G168" s="3"/>
      <c r="H168" s="3"/>
      <c r="I168" s="3"/>
      <c r="J168" s="3">
        <f>'2019.10.31.'!I168</f>
        <v>0</v>
      </c>
      <c r="K168" s="20">
        <f t="shared" si="55"/>
        <v>50000</v>
      </c>
      <c r="L168" s="108">
        <v>0</v>
      </c>
      <c r="M168" s="3">
        <f t="shared" si="56"/>
        <v>50000</v>
      </c>
    </row>
    <row r="169" spans="1:13" x14ac:dyDescent="0.3">
      <c r="A169" s="254"/>
      <c r="B169" s="261"/>
      <c r="C169" s="10" t="s">
        <v>38</v>
      </c>
      <c r="D169" s="24">
        <v>140000</v>
      </c>
      <c r="E169" s="24">
        <v>136600</v>
      </c>
      <c r="F169" s="3">
        <f>'2019.10.31.'!F169</f>
        <v>0</v>
      </c>
      <c r="G169" s="3"/>
      <c r="H169" s="3"/>
      <c r="I169" s="3"/>
      <c r="J169" s="3">
        <f>'2019.10.31.'!I169</f>
        <v>0</v>
      </c>
      <c r="K169" s="20">
        <f t="shared" si="55"/>
        <v>136600</v>
      </c>
      <c r="L169" s="108">
        <v>50790</v>
      </c>
      <c r="M169" s="3">
        <f t="shared" si="56"/>
        <v>85810</v>
      </c>
    </row>
    <row r="170" spans="1:13" x14ac:dyDescent="0.3">
      <c r="A170" s="254"/>
      <c r="B170" s="261"/>
      <c r="C170" s="10" t="s">
        <v>40</v>
      </c>
      <c r="D170" s="24">
        <v>15000</v>
      </c>
      <c r="E170" s="24">
        <v>18400</v>
      </c>
      <c r="F170" s="3">
        <f>'2019.10.31.'!F170</f>
        <v>0</v>
      </c>
      <c r="G170" s="3"/>
      <c r="H170" s="3"/>
      <c r="I170" s="3"/>
      <c r="J170" s="3">
        <f>'2019.10.31.'!I170</f>
        <v>0</v>
      </c>
      <c r="K170" s="20">
        <f t="shared" si="55"/>
        <v>18400</v>
      </c>
      <c r="L170" s="108">
        <v>6350</v>
      </c>
      <c r="M170" s="3">
        <f t="shared" si="56"/>
        <v>12050</v>
      </c>
    </row>
    <row r="171" spans="1:13" x14ac:dyDescent="0.3">
      <c r="A171" s="254"/>
      <c r="B171" s="261"/>
      <c r="C171" s="10" t="s">
        <v>41</v>
      </c>
      <c r="D171" s="24">
        <v>80000</v>
      </c>
      <c r="E171" s="24">
        <v>144188</v>
      </c>
      <c r="F171" s="3">
        <f>'2019.10.31.'!F171</f>
        <v>0</v>
      </c>
      <c r="G171" s="3"/>
      <c r="H171" s="3"/>
      <c r="I171" s="3"/>
      <c r="J171" s="3">
        <f>'2019.10.31.'!I171</f>
        <v>0</v>
      </c>
      <c r="K171" s="20">
        <f t="shared" si="55"/>
        <v>144188</v>
      </c>
      <c r="L171" s="108">
        <v>94768</v>
      </c>
      <c r="M171" s="3">
        <f t="shared" si="56"/>
        <v>49420</v>
      </c>
    </row>
    <row r="172" spans="1:13" x14ac:dyDescent="0.3">
      <c r="A172" s="254"/>
      <c r="B172" s="261"/>
      <c r="C172" s="10" t="s">
        <v>42</v>
      </c>
      <c r="D172" s="24">
        <v>240000</v>
      </c>
      <c r="E172" s="24">
        <v>240000</v>
      </c>
      <c r="F172" s="3">
        <f>'2019.10.31.'!F172+50000</f>
        <v>50000</v>
      </c>
      <c r="G172" s="3"/>
      <c r="H172" s="3"/>
      <c r="I172" s="3"/>
      <c r="J172" s="3">
        <f>'2019.10.31.'!I172</f>
        <v>0</v>
      </c>
      <c r="K172" s="20">
        <f t="shared" si="55"/>
        <v>290000</v>
      </c>
      <c r="L172" s="108">
        <v>229650</v>
      </c>
      <c r="M172" s="3">
        <f t="shared" si="56"/>
        <v>60350</v>
      </c>
    </row>
    <row r="173" spans="1:13" x14ac:dyDescent="0.3">
      <c r="A173" s="254"/>
      <c r="B173" s="261"/>
      <c r="C173" s="10" t="s">
        <v>44</v>
      </c>
      <c r="D173" s="24">
        <v>142900</v>
      </c>
      <c r="E173" s="24">
        <v>128712</v>
      </c>
      <c r="F173" s="3">
        <f>'2019.10.31.'!F173</f>
        <v>0</v>
      </c>
      <c r="G173" s="3"/>
      <c r="H173" s="3"/>
      <c r="I173" s="3"/>
      <c r="J173" s="3">
        <f>'2019.10.31.'!I173</f>
        <v>0</v>
      </c>
      <c r="K173" s="20">
        <f t="shared" si="55"/>
        <v>128712</v>
      </c>
      <c r="L173" s="108">
        <v>22274</v>
      </c>
      <c r="M173" s="3">
        <f t="shared" si="56"/>
        <v>106438</v>
      </c>
    </row>
    <row r="174" spans="1:13" x14ac:dyDescent="0.3">
      <c r="A174" s="254"/>
      <c r="B174" s="261"/>
      <c r="C174" s="6" t="s">
        <v>49</v>
      </c>
      <c r="D174" s="7">
        <f>SUM(D165:D173)</f>
        <v>967900</v>
      </c>
      <c r="E174" s="7">
        <v>967900</v>
      </c>
      <c r="F174" s="7">
        <f t="shared" ref="F174:M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0</v>
      </c>
      <c r="K174" s="7">
        <f t="shared" si="57"/>
        <v>967900</v>
      </c>
      <c r="L174" s="110">
        <f t="shared" si="57"/>
        <v>408368</v>
      </c>
      <c r="M174" s="7">
        <f t="shared" si="57"/>
        <v>559532</v>
      </c>
    </row>
    <row r="175" spans="1:13" x14ac:dyDescent="0.3">
      <c r="A175" s="262" t="s">
        <v>67</v>
      </c>
      <c r="B175" s="264" t="s">
        <v>23</v>
      </c>
      <c r="C175" s="25" t="s">
        <v>29</v>
      </c>
      <c r="D175" s="24">
        <v>157200</v>
      </c>
      <c r="E175" s="24">
        <v>157200</v>
      </c>
      <c r="F175" s="3">
        <f>'2019.10.31.'!F175</f>
        <v>0</v>
      </c>
      <c r="G175" s="3"/>
      <c r="H175" s="3">
        <v>-85800</v>
      </c>
      <c r="I175" s="3"/>
      <c r="J175" s="3">
        <f>'2019.10.31.'!I175</f>
        <v>0</v>
      </c>
      <c r="K175" s="20">
        <f>E175+F175+G175+I175+J175+H175</f>
        <v>71400</v>
      </c>
      <c r="L175" s="108">
        <v>60800</v>
      </c>
      <c r="M175" s="3">
        <f t="shared" ref="M175:M191" si="58">K175-L175</f>
        <v>10600</v>
      </c>
    </row>
    <row r="176" spans="1:13" x14ac:dyDescent="0.3">
      <c r="A176" s="263"/>
      <c r="B176" s="265"/>
      <c r="C176" s="25" t="s">
        <v>31</v>
      </c>
      <c r="D176" s="24">
        <v>29213</v>
      </c>
      <c r="E176" s="24">
        <v>29213</v>
      </c>
      <c r="F176" s="3">
        <f>'2019.10.31.'!F176</f>
        <v>0</v>
      </c>
      <c r="G176" s="3"/>
      <c r="H176" s="3">
        <v>-15818</v>
      </c>
      <c r="I176" s="3"/>
      <c r="J176" s="3">
        <f>'2019.10.31.'!I176</f>
        <v>0</v>
      </c>
      <c r="K176" s="20">
        <f>E176+F176+G176+I176+J176+H176</f>
        <v>13395</v>
      </c>
      <c r="L176" s="108">
        <v>11540</v>
      </c>
      <c r="M176" s="3">
        <f t="shared" si="58"/>
        <v>1855</v>
      </c>
    </row>
    <row r="177" spans="1:13" x14ac:dyDescent="0.3">
      <c r="A177" s="262" t="s">
        <v>75</v>
      </c>
      <c r="B177" s="264" t="s">
        <v>23</v>
      </c>
      <c r="C177" s="15" t="s">
        <v>24</v>
      </c>
      <c r="D177" s="24">
        <v>1604509</v>
      </c>
      <c r="E177" s="24">
        <v>1604509</v>
      </c>
      <c r="F177" s="3">
        <f>'2019.10.31.'!F177</f>
        <v>0</v>
      </c>
      <c r="G177" s="3"/>
      <c r="H177" s="3"/>
      <c r="I177" s="3">
        <v>40559</v>
      </c>
      <c r="J177" s="3">
        <f>'2019.10.31.'!I177</f>
        <v>0</v>
      </c>
      <c r="K177" s="20">
        <f t="shared" ref="K177:K191" si="59">E177+F177+G177+I177+J177</f>
        <v>1645068</v>
      </c>
      <c r="L177" s="108">
        <v>1369857</v>
      </c>
      <c r="M177" s="3">
        <f t="shared" si="58"/>
        <v>275211</v>
      </c>
    </row>
    <row r="178" spans="1:13" x14ac:dyDescent="0.3">
      <c r="A178" s="263"/>
      <c r="B178" s="265"/>
      <c r="C178" s="15" t="s">
        <v>31</v>
      </c>
      <c r="D178" s="24">
        <v>299119</v>
      </c>
      <c r="E178" s="24">
        <v>299119</v>
      </c>
      <c r="F178" s="3">
        <f>'2019.10.31.'!F178</f>
        <v>0</v>
      </c>
      <c r="G178" s="3"/>
      <c r="H178" s="3"/>
      <c r="I178" s="3">
        <v>7911</v>
      </c>
      <c r="J178" s="3">
        <f>'2019.10.31.'!I178</f>
        <v>0</v>
      </c>
      <c r="K178" s="20">
        <f t="shared" si="59"/>
        <v>307030</v>
      </c>
      <c r="L178" s="108">
        <v>258868</v>
      </c>
      <c r="M178" s="3">
        <f t="shared" si="58"/>
        <v>48162</v>
      </c>
    </row>
    <row r="179" spans="1:13" x14ac:dyDescent="0.3">
      <c r="A179" s="322" t="s">
        <v>80</v>
      </c>
      <c r="B179" s="322"/>
      <c r="C179" s="322"/>
      <c r="D179" s="81">
        <f>SUM(D163+D164+D174+D175+D176+D177+D178)</f>
        <v>9772723</v>
      </c>
      <c r="E179" s="81">
        <f t="shared" ref="E179:M179" si="60">SUM(E163+E164+E174+E175+E176+E177+E178)</f>
        <v>10094891</v>
      </c>
      <c r="F179" s="81">
        <f t="shared" si="60"/>
        <v>0</v>
      </c>
      <c r="G179" s="81">
        <f t="shared" si="60"/>
        <v>0</v>
      </c>
      <c r="H179" s="81">
        <f t="shared" si="60"/>
        <v>-101618</v>
      </c>
      <c r="I179" s="81">
        <f t="shared" si="60"/>
        <v>48470</v>
      </c>
      <c r="J179" s="81">
        <f t="shared" si="60"/>
        <v>0</v>
      </c>
      <c r="K179" s="81">
        <f t="shared" si="60"/>
        <v>10041743</v>
      </c>
      <c r="L179" s="112">
        <f t="shared" si="60"/>
        <v>7529388</v>
      </c>
      <c r="M179" s="81">
        <f t="shared" si="60"/>
        <v>2512355</v>
      </c>
    </row>
    <row r="180" spans="1:13" x14ac:dyDescent="0.3">
      <c r="A180" s="254" t="s">
        <v>15</v>
      </c>
      <c r="B180" s="264" t="s">
        <v>23</v>
      </c>
      <c r="C180" s="43" t="s">
        <v>24</v>
      </c>
      <c r="D180" s="44">
        <v>11144060</v>
      </c>
      <c r="E180" s="44">
        <v>11144060</v>
      </c>
      <c r="F180" s="3">
        <f>'2019.10.31.'!F180</f>
        <v>0</v>
      </c>
      <c r="G180" s="3"/>
      <c r="H180" s="3"/>
      <c r="I180" s="3"/>
      <c r="J180" s="3">
        <f>'2019.10.31.'!I180</f>
        <v>0</v>
      </c>
      <c r="K180" s="20">
        <f t="shared" si="59"/>
        <v>11144060</v>
      </c>
      <c r="L180" s="56">
        <v>8187749</v>
      </c>
      <c r="M180" s="3">
        <f t="shared" si="58"/>
        <v>2956311</v>
      </c>
    </row>
    <row r="181" spans="1:13" x14ac:dyDescent="0.3">
      <c r="A181" s="254"/>
      <c r="B181" s="268"/>
      <c r="C181" s="43" t="s">
        <v>30</v>
      </c>
      <c r="D181" s="44">
        <v>0</v>
      </c>
      <c r="E181" s="44">
        <v>0</v>
      </c>
      <c r="F181" s="3">
        <f>'2019.10.31.'!F181</f>
        <v>0</v>
      </c>
      <c r="G181" s="3"/>
      <c r="H181" s="3"/>
      <c r="I181" s="3"/>
      <c r="J181" s="3">
        <f>'2019.10.31.'!I181</f>
        <v>0</v>
      </c>
      <c r="K181" s="20">
        <f t="shared" si="59"/>
        <v>0</v>
      </c>
      <c r="L181" s="56">
        <v>0</v>
      </c>
      <c r="M181" s="3">
        <f t="shared" si="58"/>
        <v>0</v>
      </c>
    </row>
    <row r="182" spans="1:13" x14ac:dyDescent="0.3">
      <c r="A182" s="254"/>
      <c r="B182" s="268"/>
      <c r="C182" s="6" t="s">
        <v>53</v>
      </c>
      <c r="D182" s="7">
        <f>D180+D181</f>
        <v>11144060</v>
      </c>
      <c r="E182" s="7">
        <v>11144060</v>
      </c>
      <c r="F182" s="7">
        <f t="shared" ref="F182:M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7">
        <f t="shared" si="61"/>
        <v>0</v>
      </c>
      <c r="K182" s="8">
        <f t="shared" si="59"/>
        <v>11144060</v>
      </c>
      <c r="L182" s="113">
        <f t="shared" si="61"/>
        <v>8187749</v>
      </c>
      <c r="M182" s="7">
        <f t="shared" si="61"/>
        <v>2956311</v>
      </c>
    </row>
    <row r="183" spans="1:13" x14ac:dyDescent="0.3">
      <c r="A183" s="254"/>
      <c r="B183" s="268"/>
      <c r="C183" s="82" t="s">
        <v>31</v>
      </c>
      <c r="D183" s="83">
        <v>2295657</v>
      </c>
      <c r="E183" s="83">
        <v>6570207</v>
      </c>
      <c r="F183" s="85">
        <f>'2019.10.31.'!F183</f>
        <v>0</v>
      </c>
      <c r="G183" s="85"/>
      <c r="H183" s="85"/>
      <c r="I183" s="85"/>
      <c r="J183" s="85">
        <f>'2019.10.31.'!I183</f>
        <v>0</v>
      </c>
      <c r="K183" s="85">
        <f t="shared" si="59"/>
        <v>6570207</v>
      </c>
      <c r="L183" s="111">
        <v>4345532</v>
      </c>
      <c r="M183" s="85">
        <f t="shared" si="58"/>
        <v>2224675</v>
      </c>
    </row>
    <row r="184" spans="1:13" x14ac:dyDescent="0.3">
      <c r="A184" s="254"/>
      <c r="B184" s="268"/>
      <c r="C184" s="10" t="s">
        <v>33</v>
      </c>
      <c r="D184" s="3">
        <v>90000</v>
      </c>
      <c r="E184" s="3">
        <v>232959</v>
      </c>
      <c r="F184" s="3">
        <f>'2019.10.31.'!F184</f>
        <v>0</v>
      </c>
      <c r="G184" s="3"/>
      <c r="H184" s="3"/>
      <c r="I184" s="3"/>
      <c r="J184" s="3">
        <f>'2019.10.31.'!I184</f>
        <v>0</v>
      </c>
      <c r="K184" s="3">
        <f t="shared" si="59"/>
        <v>232959</v>
      </c>
      <c r="L184" s="108">
        <v>232959</v>
      </c>
      <c r="M184" s="3">
        <f t="shared" si="58"/>
        <v>0</v>
      </c>
    </row>
    <row r="185" spans="1:13" x14ac:dyDescent="0.3">
      <c r="A185" s="254"/>
      <c r="B185" s="268"/>
      <c r="C185" s="10" t="s">
        <v>37</v>
      </c>
      <c r="D185" s="3">
        <v>230000</v>
      </c>
      <c r="E185" s="3">
        <v>230000</v>
      </c>
      <c r="F185" s="3">
        <f>'2019.10.31.'!F185</f>
        <v>0</v>
      </c>
      <c r="G185" s="3"/>
      <c r="H185" s="3"/>
      <c r="I185" s="3"/>
      <c r="J185" s="3">
        <f>'2019.10.31.'!I185</f>
        <v>0</v>
      </c>
      <c r="K185" s="3">
        <f t="shared" si="59"/>
        <v>230000</v>
      </c>
      <c r="L185" s="108">
        <v>0</v>
      </c>
      <c r="M185" s="3">
        <f t="shared" si="58"/>
        <v>230000</v>
      </c>
    </row>
    <row r="186" spans="1:13" x14ac:dyDescent="0.3">
      <c r="A186" s="254"/>
      <c r="B186" s="268"/>
      <c r="C186" s="10" t="s">
        <v>40</v>
      </c>
      <c r="D186" s="3">
        <v>14850000</v>
      </c>
      <c r="E186" s="3">
        <v>14850000</v>
      </c>
      <c r="F186" s="3">
        <f>'2019.10.31.'!F186</f>
        <v>0</v>
      </c>
      <c r="G186" s="3"/>
      <c r="H186" s="3"/>
      <c r="I186" s="3"/>
      <c r="J186" s="3">
        <f>'2019.10.31.'!I186</f>
        <v>0</v>
      </c>
      <c r="K186" s="3">
        <f t="shared" si="59"/>
        <v>14850000</v>
      </c>
      <c r="L186" s="108">
        <v>0</v>
      </c>
      <c r="M186" s="3">
        <f t="shared" si="58"/>
        <v>14850000</v>
      </c>
    </row>
    <row r="187" spans="1:13" x14ac:dyDescent="0.3">
      <c r="A187" s="254"/>
      <c r="B187" s="268"/>
      <c r="C187" s="10" t="s">
        <v>41</v>
      </c>
      <c r="D187" s="3">
        <v>25112271</v>
      </c>
      <c r="E187" s="3">
        <v>12427045</v>
      </c>
      <c r="F187" s="3">
        <f>'2019.10.31.'!F187</f>
        <v>0</v>
      </c>
      <c r="G187" s="3"/>
      <c r="H187" s="3"/>
      <c r="I187" s="3"/>
      <c r="J187" s="3">
        <f>'2019.10.31.'!I187</f>
        <v>0</v>
      </c>
      <c r="K187" s="3">
        <f t="shared" si="59"/>
        <v>12427045</v>
      </c>
      <c r="L187" s="108">
        <v>5250010</v>
      </c>
      <c r="M187" s="3">
        <f t="shared" si="58"/>
        <v>7177035</v>
      </c>
    </row>
    <row r="188" spans="1:13" x14ac:dyDescent="0.3">
      <c r="A188" s="254"/>
      <c r="B188" s="268"/>
      <c r="C188" s="10" t="s">
        <v>42</v>
      </c>
      <c r="D188" s="3">
        <v>230000</v>
      </c>
      <c r="E188" s="3">
        <v>230000</v>
      </c>
      <c r="F188" s="3">
        <f>'2019.10.31.'!F188</f>
        <v>0</v>
      </c>
      <c r="G188" s="3"/>
      <c r="H188" s="3"/>
      <c r="I188" s="3"/>
      <c r="J188" s="3">
        <f>'2019.10.31.'!I188</f>
        <v>0</v>
      </c>
      <c r="K188" s="3">
        <f t="shared" si="59"/>
        <v>230000</v>
      </c>
      <c r="L188" s="108">
        <v>38298</v>
      </c>
      <c r="M188" s="3">
        <f t="shared" si="58"/>
        <v>191702</v>
      </c>
    </row>
    <row r="189" spans="1:13" x14ac:dyDescent="0.3">
      <c r="A189" s="254"/>
      <c r="B189" s="268"/>
      <c r="C189" s="10" t="s">
        <v>43</v>
      </c>
      <c r="D189" s="3">
        <v>230000</v>
      </c>
      <c r="E189" s="3">
        <v>230000</v>
      </c>
      <c r="F189" s="3">
        <f>'2019.10.31.'!F189</f>
        <v>0</v>
      </c>
      <c r="G189" s="3"/>
      <c r="H189" s="3"/>
      <c r="I189" s="3"/>
      <c r="J189" s="3">
        <f>'2019.10.31.'!I189</f>
        <v>0</v>
      </c>
      <c r="K189" s="3">
        <f t="shared" si="59"/>
        <v>230000</v>
      </c>
      <c r="L189" s="108">
        <v>0</v>
      </c>
      <c r="M189" s="3">
        <f t="shared" si="58"/>
        <v>230000</v>
      </c>
    </row>
    <row r="190" spans="1:13" x14ac:dyDescent="0.3">
      <c r="A190" s="254"/>
      <c r="B190" s="268"/>
      <c r="C190" s="10" t="s">
        <v>44</v>
      </c>
      <c r="D190" s="3">
        <v>5677830</v>
      </c>
      <c r="E190" s="3">
        <v>3445547</v>
      </c>
      <c r="F190" s="3">
        <f>'2019.10.31.'!F190</f>
        <v>0</v>
      </c>
      <c r="G190" s="3"/>
      <c r="H190" s="3"/>
      <c r="I190" s="3"/>
      <c r="J190" s="3">
        <f>'2019.10.31.'!I190</f>
        <v>0</v>
      </c>
      <c r="K190" s="3">
        <f t="shared" si="59"/>
        <v>3445547</v>
      </c>
      <c r="L190" s="108">
        <v>1480399</v>
      </c>
      <c r="M190" s="3">
        <f t="shared" si="58"/>
        <v>1965148</v>
      </c>
    </row>
    <row r="191" spans="1:13" x14ac:dyDescent="0.3">
      <c r="A191" s="254"/>
      <c r="B191" s="268"/>
      <c r="C191" s="10" t="s">
        <v>45</v>
      </c>
      <c r="D191" s="3">
        <v>229990</v>
      </c>
      <c r="E191" s="3">
        <v>229990</v>
      </c>
      <c r="F191" s="3">
        <f>'2019.10.31.'!F191</f>
        <v>0</v>
      </c>
      <c r="G191" s="3"/>
      <c r="H191" s="3"/>
      <c r="I191" s="3"/>
      <c r="J191" s="3">
        <f>'2019.10.31.'!I191</f>
        <v>0</v>
      </c>
      <c r="K191" s="3">
        <f t="shared" si="59"/>
        <v>229990</v>
      </c>
      <c r="L191" s="108">
        <v>0</v>
      </c>
      <c r="M191" s="3">
        <f t="shared" si="58"/>
        <v>229990</v>
      </c>
    </row>
    <row r="192" spans="1:13" x14ac:dyDescent="0.3">
      <c r="A192" s="254"/>
      <c r="B192" s="268"/>
      <c r="C192" s="6" t="s">
        <v>49</v>
      </c>
      <c r="D192" s="7">
        <f>SUM(D184:D191)</f>
        <v>46650091</v>
      </c>
      <c r="E192" s="7">
        <v>31875541</v>
      </c>
      <c r="F192" s="7">
        <f t="shared" ref="F192:M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0</v>
      </c>
      <c r="K192" s="7">
        <f t="shared" si="62"/>
        <v>31875541</v>
      </c>
      <c r="L192" s="110">
        <f t="shared" si="62"/>
        <v>7001666</v>
      </c>
      <c r="M192" s="7">
        <f t="shared" si="62"/>
        <v>24873875</v>
      </c>
    </row>
    <row r="193" spans="1:13" x14ac:dyDescent="0.3">
      <c r="A193" s="254"/>
      <c r="B193" s="268"/>
      <c r="C193" s="10" t="s">
        <v>56</v>
      </c>
      <c r="D193" s="3">
        <v>0</v>
      </c>
      <c r="E193" s="3">
        <v>0</v>
      </c>
      <c r="F193" s="3">
        <f>'2019.10.31.'!F193</f>
        <v>0</v>
      </c>
      <c r="G193" s="3"/>
      <c r="H193" s="3"/>
      <c r="I193" s="3"/>
      <c r="J193" s="3">
        <f>'2019.10.31.'!I193</f>
        <v>0</v>
      </c>
      <c r="K193" s="3">
        <f t="shared" ref="K193:K195" si="63">E193+F193+G193+I193+J193</f>
        <v>0</v>
      </c>
      <c r="L193" s="108">
        <v>0</v>
      </c>
      <c r="M193" s="3">
        <f t="shared" ref="M193:M195" si="64">K193-L193</f>
        <v>0</v>
      </c>
    </row>
    <row r="194" spans="1:13" x14ac:dyDescent="0.3">
      <c r="A194" s="254"/>
      <c r="B194" s="268"/>
      <c r="C194" s="10" t="s">
        <v>50</v>
      </c>
      <c r="D194" s="3">
        <v>3740</v>
      </c>
      <c r="E194" s="3">
        <v>3740</v>
      </c>
      <c r="F194" s="3">
        <f>'2019.10.31.'!F194</f>
        <v>0</v>
      </c>
      <c r="G194" s="3"/>
      <c r="H194" s="3"/>
      <c r="I194" s="3"/>
      <c r="J194" s="3">
        <f>'2019.10.31.'!I194</f>
        <v>0</v>
      </c>
      <c r="K194" s="3">
        <f t="shared" si="63"/>
        <v>3740</v>
      </c>
      <c r="L194" s="108">
        <v>0</v>
      </c>
      <c r="M194" s="3">
        <f t="shared" si="64"/>
        <v>3740</v>
      </c>
    </row>
    <row r="195" spans="1:13" x14ac:dyDescent="0.3">
      <c r="A195" s="254"/>
      <c r="B195" s="268"/>
      <c r="C195" s="10" t="s">
        <v>51</v>
      </c>
      <c r="D195" s="3">
        <v>1010</v>
      </c>
      <c r="E195" s="3">
        <v>1010</v>
      </c>
      <c r="F195" s="3">
        <f>'2019.10.31.'!F195</f>
        <v>0</v>
      </c>
      <c r="G195" s="3"/>
      <c r="H195" s="3"/>
      <c r="I195" s="3"/>
      <c r="J195" s="3">
        <f>'2019.10.31.'!I195</f>
        <v>0</v>
      </c>
      <c r="K195" s="3">
        <f t="shared" si="63"/>
        <v>1010</v>
      </c>
      <c r="L195" s="108">
        <v>0</v>
      </c>
      <c r="M195" s="3">
        <f t="shared" si="64"/>
        <v>1010</v>
      </c>
    </row>
    <row r="196" spans="1:13" x14ac:dyDescent="0.3">
      <c r="A196" s="254"/>
      <c r="B196" s="268"/>
      <c r="C196" s="6" t="s">
        <v>52</v>
      </c>
      <c r="D196" s="7">
        <f>SUM(D193:D195)</f>
        <v>4750</v>
      </c>
      <c r="E196" s="7">
        <v>4750</v>
      </c>
      <c r="F196" s="7">
        <f t="shared" ref="F196:M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0</v>
      </c>
      <c r="K196" s="7">
        <f t="shared" si="65"/>
        <v>4750</v>
      </c>
      <c r="L196" s="110">
        <f t="shared" si="65"/>
        <v>0</v>
      </c>
      <c r="M196" s="7">
        <f t="shared" si="65"/>
        <v>4750</v>
      </c>
    </row>
    <row r="197" spans="1:13" x14ac:dyDescent="0.3">
      <c r="A197" s="254"/>
      <c r="B197" s="265"/>
      <c r="C197" s="10" t="s">
        <v>57</v>
      </c>
      <c r="D197" s="3">
        <v>0</v>
      </c>
      <c r="E197" s="3">
        <v>10500000</v>
      </c>
      <c r="F197" s="3">
        <f>'2019.10.31.'!F197</f>
        <v>0</v>
      </c>
      <c r="G197" s="3"/>
      <c r="H197" s="3"/>
      <c r="I197" s="3"/>
      <c r="J197" s="3">
        <f>'2019.10.31.'!I197</f>
        <v>0</v>
      </c>
      <c r="K197" s="3">
        <f t="shared" ref="K197" si="66">E197+F197+G197+I197+J197</f>
        <v>10500000</v>
      </c>
      <c r="L197" s="108">
        <v>10500000</v>
      </c>
      <c r="M197" s="3">
        <f t="shared" ref="M197" si="67">K197-L197</f>
        <v>0</v>
      </c>
    </row>
    <row r="198" spans="1:13" x14ac:dyDescent="0.3">
      <c r="A198" s="319" t="s">
        <v>81</v>
      </c>
      <c r="B198" s="320"/>
      <c r="C198" s="321"/>
      <c r="D198" s="80">
        <f>SUM(D182+D183+D192+D196+D197)</f>
        <v>60094558</v>
      </c>
      <c r="E198" s="80">
        <f t="shared" ref="E198:M198" si="68">SUM(E182+E183+E192+E196+E197)</f>
        <v>60094558</v>
      </c>
      <c r="F198" s="80">
        <f t="shared" si="68"/>
        <v>0</v>
      </c>
      <c r="G198" s="80">
        <f t="shared" si="68"/>
        <v>0</v>
      </c>
      <c r="H198" s="80">
        <f t="shared" si="68"/>
        <v>0</v>
      </c>
      <c r="I198" s="80">
        <f t="shared" si="68"/>
        <v>0</v>
      </c>
      <c r="J198" s="80">
        <f t="shared" si="68"/>
        <v>0</v>
      </c>
      <c r="K198" s="80">
        <f t="shared" si="68"/>
        <v>60094558</v>
      </c>
      <c r="L198" s="112">
        <f t="shared" si="68"/>
        <v>30034947</v>
      </c>
      <c r="M198" s="80">
        <f t="shared" si="68"/>
        <v>30059611</v>
      </c>
    </row>
    <row r="199" spans="1:13" x14ac:dyDescent="0.3">
      <c r="A199" s="285" t="s">
        <v>85</v>
      </c>
      <c r="B199" s="264" t="s">
        <v>46</v>
      </c>
      <c r="C199" s="12" t="s">
        <v>24</v>
      </c>
      <c r="D199" s="3">
        <v>9880165</v>
      </c>
      <c r="E199" s="3">
        <v>9562762</v>
      </c>
      <c r="F199" s="3">
        <f>'2019.10.31.'!F199</f>
        <v>0</v>
      </c>
      <c r="G199" s="3"/>
      <c r="H199" s="3"/>
      <c r="I199" s="3"/>
      <c r="J199" s="3">
        <f>'2019.10.31.'!I199</f>
        <v>0</v>
      </c>
      <c r="K199" s="20">
        <f t="shared" ref="K199:K204" si="69">E199+F199+G199+I199+J199</f>
        <v>9562762</v>
      </c>
      <c r="L199" s="108">
        <v>7568980</v>
      </c>
      <c r="M199" s="3">
        <f t="shared" ref="M199:M204" si="70">K199-L199</f>
        <v>1993782</v>
      </c>
    </row>
    <row r="200" spans="1:13" x14ac:dyDescent="0.3">
      <c r="A200" s="285"/>
      <c r="B200" s="268"/>
      <c r="C200" s="12" t="s">
        <v>25</v>
      </c>
      <c r="D200" s="3">
        <v>400000</v>
      </c>
      <c r="E200" s="3">
        <v>400000</v>
      </c>
      <c r="F200" s="3">
        <f>'2019.10.31.'!F200</f>
        <v>0</v>
      </c>
      <c r="G200" s="3"/>
      <c r="H200" s="3"/>
      <c r="I200" s="3"/>
      <c r="J200" s="3">
        <f>'2019.10.31.'!I200</f>
        <v>0</v>
      </c>
      <c r="K200" s="20">
        <f t="shared" si="69"/>
        <v>400000</v>
      </c>
      <c r="L200" s="108">
        <v>400000</v>
      </c>
      <c r="M200" s="3">
        <f t="shared" si="70"/>
        <v>0</v>
      </c>
    </row>
    <row r="201" spans="1:13" x14ac:dyDescent="0.3">
      <c r="A201" s="285"/>
      <c r="B201" s="268"/>
      <c r="C201" s="12" t="s">
        <v>26</v>
      </c>
      <c r="D201" s="3">
        <v>20000</v>
      </c>
      <c r="E201" s="3">
        <v>20000</v>
      </c>
      <c r="F201" s="3">
        <f>'2019.10.31.'!F201</f>
        <v>0</v>
      </c>
      <c r="G201" s="3"/>
      <c r="H201" s="3"/>
      <c r="I201" s="3"/>
      <c r="J201" s="3">
        <f>'2019.10.31.'!I201</f>
        <v>0</v>
      </c>
      <c r="K201" s="20">
        <f t="shared" si="69"/>
        <v>20000</v>
      </c>
      <c r="L201" s="108">
        <v>0</v>
      </c>
      <c r="M201" s="3">
        <f t="shared" si="70"/>
        <v>20000</v>
      </c>
    </row>
    <row r="202" spans="1:13" x14ac:dyDescent="0.3">
      <c r="A202" s="285"/>
      <c r="B202" s="268"/>
      <c r="C202" s="2" t="s">
        <v>27</v>
      </c>
      <c r="D202" s="3">
        <v>75000</v>
      </c>
      <c r="E202" s="3">
        <v>90912</v>
      </c>
      <c r="F202" s="3">
        <f>'2019.10.31.'!F202</f>
        <v>0</v>
      </c>
      <c r="G202" s="3"/>
      <c r="H202" s="3"/>
      <c r="I202" s="3"/>
      <c r="J202" s="3">
        <f>'2019.10.31.'!I202</f>
        <v>0</v>
      </c>
      <c r="K202" s="20">
        <f t="shared" si="69"/>
        <v>90912</v>
      </c>
      <c r="L202" s="108">
        <v>24480</v>
      </c>
      <c r="M202" s="3">
        <f t="shared" si="70"/>
        <v>66432</v>
      </c>
    </row>
    <row r="203" spans="1:13" x14ac:dyDescent="0.3">
      <c r="A203" s="285"/>
      <c r="B203" s="268"/>
      <c r="C203" s="2" t="s">
        <v>28</v>
      </c>
      <c r="D203" s="3">
        <v>48000</v>
      </c>
      <c r="E203" s="3">
        <v>48000</v>
      </c>
      <c r="F203" s="3">
        <f>'2019.10.31.'!F203</f>
        <v>0</v>
      </c>
      <c r="G203" s="3"/>
      <c r="H203" s="3"/>
      <c r="I203" s="3"/>
      <c r="J203" s="3">
        <f>'2019.10.31.'!I203</f>
        <v>0</v>
      </c>
      <c r="K203" s="20">
        <f t="shared" si="69"/>
        <v>48000</v>
      </c>
      <c r="L203" s="108">
        <v>24000</v>
      </c>
      <c r="M203" s="3">
        <f t="shared" si="70"/>
        <v>24000</v>
      </c>
    </row>
    <row r="204" spans="1:13" x14ac:dyDescent="0.3">
      <c r="A204" s="285"/>
      <c r="B204" s="268"/>
      <c r="C204" s="2" t="s">
        <v>29</v>
      </c>
      <c r="D204" s="3">
        <v>264000</v>
      </c>
      <c r="E204" s="3">
        <v>670126</v>
      </c>
      <c r="F204" s="3">
        <f>'2019.10.31.'!F204</f>
        <v>0</v>
      </c>
      <c r="G204" s="3"/>
      <c r="H204" s="3"/>
      <c r="I204" s="3"/>
      <c r="J204" s="3">
        <f>'2019.10.31.'!I204</f>
        <v>0</v>
      </c>
      <c r="K204" s="20">
        <f t="shared" si="69"/>
        <v>670126</v>
      </c>
      <c r="L204" s="108">
        <v>500166</v>
      </c>
      <c r="M204" s="3">
        <f t="shared" si="70"/>
        <v>169960</v>
      </c>
    </row>
    <row r="205" spans="1:13" x14ac:dyDescent="0.3">
      <c r="A205" s="285"/>
      <c r="B205" s="268"/>
      <c r="C205" s="26" t="s">
        <v>53</v>
      </c>
      <c r="D205" s="7">
        <f>SUM(D199:D204)</f>
        <v>10687165</v>
      </c>
      <c r="E205" s="7">
        <v>10791800</v>
      </c>
      <c r="F205" s="7">
        <f t="shared" ref="F205:M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0</v>
      </c>
      <c r="K205" s="7">
        <f t="shared" si="71"/>
        <v>10791800</v>
      </c>
      <c r="L205" s="110">
        <f t="shared" si="71"/>
        <v>8517626</v>
      </c>
      <c r="M205" s="7">
        <f t="shared" si="71"/>
        <v>2274174</v>
      </c>
    </row>
    <row r="206" spans="1:13" x14ac:dyDescent="0.3">
      <c r="A206" s="285"/>
      <c r="B206" s="268"/>
      <c r="C206" s="86" t="s">
        <v>31</v>
      </c>
      <c r="D206" s="87">
        <v>2120857</v>
      </c>
      <c r="E206" s="87">
        <v>2120857</v>
      </c>
      <c r="F206" s="85">
        <f>'2019.10.31.'!F206</f>
        <v>0</v>
      </c>
      <c r="G206" s="85"/>
      <c r="H206" s="85"/>
      <c r="I206" s="85"/>
      <c r="J206" s="85">
        <f>'2019.10.31.'!I206</f>
        <v>0</v>
      </c>
      <c r="K206" s="84">
        <f t="shared" ref="K206:K214" si="72">E206+F206+G206+I206+J206</f>
        <v>2120857</v>
      </c>
      <c r="L206" s="111">
        <v>1701199</v>
      </c>
      <c r="M206" s="85">
        <f t="shared" ref="M206:M214" si="73">K206-L206</f>
        <v>419658</v>
      </c>
    </row>
    <row r="207" spans="1:13" x14ac:dyDescent="0.3">
      <c r="A207" s="285"/>
      <c r="B207" s="268"/>
      <c r="C207" s="172" t="s">
        <v>32</v>
      </c>
      <c r="D207" s="169">
        <v>0</v>
      </c>
      <c r="E207" s="169">
        <v>0</v>
      </c>
      <c r="F207" s="3">
        <f>'2019.10.31.'!F207+20000</f>
        <v>33514</v>
      </c>
      <c r="G207" s="3"/>
      <c r="H207" s="3"/>
      <c r="I207" s="3"/>
      <c r="J207" s="3">
        <f>'2019.10.31.'!I207</f>
        <v>0</v>
      </c>
      <c r="K207" s="170">
        <f t="shared" si="72"/>
        <v>33514</v>
      </c>
      <c r="L207" s="114">
        <v>13514</v>
      </c>
      <c r="M207" s="171">
        <f t="shared" si="73"/>
        <v>20000</v>
      </c>
    </row>
    <row r="208" spans="1:13" x14ac:dyDescent="0.3">
      <c r="A208" s="285"/>
      <c r="B208" s="268"/>
      <c r="C208" s="99" t="s">
        <v>33</v>
      </c>
      <c r="D208" s="100">
        <v>0</v>
      </c>
      <c r="E208" s="100">
        <v>186928</v>
      </c>
      <c r="F208" s="3">
        <f>'2019.10.31.'!F208</f>
        <v>0</v>
      </c>
      <c r="G208" s="3"/>
      <c r="H208" s="3"/>
      <c r="I208" s="3"/>
      <c r="J208" s="3">
        <f>'2019.10.31.'!I208</f>
        <v>0</v>
      </c>
      <c r="K208" s="20">
        <f t="shared" si="72"/>
        <v>186928</v>
      </c>
      <c r="L208" s="114">
        <v>30769</v>
      </c>
      <c r="M208" s="3">
        <f t="shared" si="73"/>
        <v>156159</v>
      </c>
    </row>
    <row r="209" spans="1:13" x14ac:dyDescent="0.3">
      <c r="A209" s="285"/>
      <c r="B209" s="268"/>
      <c r="C209" s="46" t="s">
        <v>35</v>
      </c>
      <c r="D209" s="47">
        <v>0</v>
      </c>
      <c r="E209" s="47">
        <v>172800</v>
      </c>
      <c r="F209" s="3">
        <f>'2019.10.31.'!F209+20000</f>
        <v>20000</v>
      </c>
      <c r="G209" s="3"/>
      <c r="H209" s="3"/>
      <c r="I209" s="3"/>
      <c r="J209" s="3">
        <f>'2019.10.31.'!I209</f>
        <v>0</v>
      </c>
      <c r="K209" s="20">
        <f t="shared" si="72"/>
        <v>192800</v>
      </c>
      <c r="L209" s="114">
        <v>36233</v>
      </c>
      <c r="M209" s="3">
        <f t="shared" si="73"/>
        <v>156567</v>
      </c>
    </row>
    <row r="210" spans="1:13" x14ac:dyDescent="0.3">
      <c r="A210" s="285"/>
      <c r="B210" s="268"/>
      <c r="C210" s="98" t="s">
        <v>38</v>
      </c>
      <c r="D210" s="47">
        <v>0</v>
      </c>
      <c r="E210" s="47">
        <v>8500</v>
      </c>
      <c r="F210" s="3">
        <f>'2019.10.31.'!F210+20000</f>
        <v>20000</v>
      </c>
      <c r="G210" s="3"/>
      <c r="H210" s="3"/>
      <c r="I210" s="3"/>
      <c r="J210" s="3">
        <f>'2019.10.31.'!I210</f>
        <v>0</v>
      </c>
      <c r="K210" s="20">
        <f t="shared" si="72"/>
        <v>28500</v>
      </c>
      <c r="L210" s="114">
        <v>3500</v>
      </c>
      <c r="M210" s="3">
        <f t="shared" si="73"/>
        <v>25000</v>
      </c>
    </row>
    <row r="211" spans="1:13" x14ac:dyDescent="0.3">
      <c r="A211" s="285"/>
      <c r="B211" s="268"/>
      <c r="C211" s="131" t="s">
        <v>41</v>
      </c>
      <c r="D211" s="47">
        <v>0</v>
      </c>
      <c r="E211" s="47">
        <v>21685</v>
      </c>
      <c r="F211" s="3">
        <f>'2019.10.31.'!F211</f>
        <v>0</v>
      </c>
      <c r="G211" s="3"/>
      <c r="H211" s="3"/>
      <c r="I211" s="3"/>
      <c r="J211" s="3">
        <f>'2019.10.31.'!I211</f>
        <v>0</v>
      </c>
      <c r="K211" s="20">
        <f t="shared" si="72"/>
        <v>21685</v>
      </c>
      <c r="L211" s="114">
        <v>1685</v>
      </c>
      <c r="M211" s="3">
        <f t="shared" si="73"/>
        <v>20000</v>
      </c>
    </row>
    <row r="212" spans="1:13" x14ac:dyDescent="0.3">
      <c r="A212" s="285"/>
      <c r="B212" s="268"/>
      <c r="C212" s="46" t="s">
        <v>42</v>
      </c>
      <c r="D212" s="47">
        <v>0</v>
      </c>
      <c r="E212" s="47">
        <v>128910</v>
      </c>
      <c r="F212" s="3">
        <f>'2019.10.31.'!F212+100000</f>
        <v>100000</v>
      </c>
      <c r="G212" s="3"/>
      <c r="H212" s="3"/>
      <c r="I212" s="3"/>
      <c r="J212" s="3">
        <f>'2019.10.31.'!I212</f>
        <v>0</v>
      </c>
      <c r="K212" s="20">
        <f t="shared" si="72"/>
        <v>228910</v>
      </c>
      <c r="L212" s="114">
        <v>87915</v>
      </c>
      <c r="M212" s="3">
        <f t="shared" si="73"/>
        <v>140995</v>
      </c>
    </row>
    <row r="213" spans="1:13" x14ac:dyDescent="0.3">
      <c r="A213" s="285"/>
      <c r="B213" s="268"/>
      <c r="C213" s="46" t="s">
        <v>44</v>
      </c>
      <c r="D213" s="47">
        <v>0</v>
      </c>
      <c r="E213" s="47">
        <v>111556</v>
      </c>
      <c r="F213" s="3">
        <f>'2019.10.31.'!F213+1295+30000</f>
        <v>32280</v>
      </c>
      <c r="G213" s="3"/>
      <c r="H213" s="3"/>
      <c r="I213" s="3"/>
      <c r="J213" s="3">
        <f>'2019.10.31.'!I213</f>
        <v>0</v>
      </c>
      <c r="K213" s="20">
        <f t="shared" si="72"/>
        <v>143836</v>
      </c>
      <c r="L213" s="114">
        <v>42038</v>
      </c>
      <c r="M213" s="3">
        <f t="shared" si="73"/>
        <v>101798</v>
      </c>
    </row>
    <row r="214" spans="1:13" x14ac:dyDescent="0.3">
      <c r="A214" s="285"/>
      <c r="B214" s="268"/>
      <c r="C214" s="46" t="s">
        <v>45</v>
      </c>
      <c r="D214" s="47">
        <v>0</v>
      </c>
      <c r="E214" s="47">
        <v>303254</v>
      </c>
      <c r="F214" s="3">
        <f>'2019.10.31.'!F214+50000</f>
        <v>76400</v>
      </c>
      <c r="G214" s="3"/>
      <c r="H214" s="3"/>
      <c r="I214" s="3"/>
      <c r="J214" s="3">
        <f>'2019.10.31.'!I214</f>
        <v>0</v>
      </c>
      <c r="K214" s="20">
        <f t="shared" si="72"/>
        <v>379654</v>
      </c>
      <c r="L214" s="114">
        <v>237279</v>
      </c>
      <c r="M214" s="3">
        <f t="shared" si="73"/>
        <v>142375</v>
      </c>
    </row>
    <row r="215" spans="1:13" x14ac:dyDescent="0.3">
      <c r="A215" s="263"/>
      <c r="B215" s="265"/>
      <c r="C215" s="49" t="s">
        <v>49</v>
      </c>
      <c r="D215" s="50">
        <f t="shared" ref="D215:J215" si="74">SUM(D207:D214)</f>
        <v>0</v>
      </c>
      <c r="E215" s="50">
        <f t="shared" si="74"/>
        <v>933633</v>
      </c>
      <c r="F215" s="50">
        <f t="shared" si="74"/>
        <v>282194</v>
      </c>
      <c r="G215" s="50">
        <f t="shared" si="74"/>
        <v>0</v>
      </c>
      <c r="H215" s="50">
        <f t="shared" si="74"/>
        <v>0</v>
      </c>
      <c r="I215" s="50">
        <f t="shared" si="74"/>
        <v>0</v>
      </c>
      <c r="J215" s="50">
        <f t="shared" si="74"/>
        <v>0</v>
      </c>
      <c r="K215" s="50">
        <f>SUM(K207:K214)</f>
        <v>1215827</v>
      </c>
      <c r="L215" s="50">
        <f t="shared" ref="L215:M215" si="75">SUM(L207:L214)</f>
        <v>452933</v>
      </c>
      <c r="M215" s="50">
        <f t="shared" si="75"/>
        <v>762894</v>
      </c>
    </row>
    <row r="216" spans="1:13" x14ac:dyDescent="0.3">
      <c r="A216" s="254" t="s">
        <v>68</v>
      </c>
      <c r="B216" s="279" t="s">
        <v>46</v>
      </c>
      <c r="C216" s="16" t="s">
        <v>24</v>
      </c>
      <c r="D216" s="17">
        <v>2501556</v>
      </c>
      <c r="E216" s="17">
        <v>2501556</v>
      </c>
      <c r="F216" s="3">
        <f>'2019.10.31.'!F216</f>
        <v>0</v>
      </c>
      <c r="G216" s="3"/>
      <c r="H216" s="3"/>
      <c r="I216" s="3">
        <v>5602</v>
      </c>
      <c r="J216" s="3">
        <f>'2019.10.31.'!I216</f>
        <v>0</v>
      </c>
      <c r="K216" s="20">
        <f>E216+F216+G216+I216+J216</f>
        <v>2507158</v>
      </c>
      <c r="L216" s="108">
        <v>2122975</v>
      </c>
      <c r="M216" s="3">
        <f t="shared" ref="M216:M217" si="76">K216-L216</f>
        <v>384183</v>
      </c>
    </row>
    <row r="217" spans="1:13" x14ac:dyDescent="0.3">
      <c r="A217" s="262"/>
      <c r="B217" s="280"/>
      <c r="C217" s="18" t="s">
        <v>31</v>
      </c>
      <c r="D217" s="19">
        <v>466569</v>
      </c>
      <c r="E217" s="19">
        <v>466569</v>
      </c>
      <c r="F217" s="3">
        <f>'2019.10.31.'!F217</f>
        <v>0</v>
      </c>
      <c r="G217" s="3"/>
      <c r="H217" s="3"/>
      <c r="I217" s="3">
        <v>1273</v>
      </c>
      <c r="J217" s="3">
        <f>'2019.10.31.'!I217</f>
        <v>0</v>
      </c>
      <c r="K217" s="20">
        <f t="shared" ref="K217" si="77">E217+F217+G217+I217+J217</f>
        <v>467842</v>
      </c>
      <c r="L217" s="108">
        <v>400609</v>
      </c>
      <c r="M217" s="3">
        <f t="shared" si="76"/>
        <v>67233</v>
      </c>
    </row>
    <row r="218" spans="1:13" x14ac:dyDescent="0.3">
      <c r="A218" s="319" t="s">
        <v>82</v>
      </c>
      <c r="B218" s="320"/>
      <c r="C218" s="321"/>
      <c r="D218" s="78">
        <f>SUM(D205+D206+D216+D217+D215)</f>
        <v>15776147</v>
      </c>
      <c r="E218" s="78">
        <f t="shared" ref="E218:J218" si="78">SUM(E205+E206+E216+E217+E215)</f>
        <v>16814415</v>
      </c>
      <c r="F218" s="78">
        <f t="shared" si="78"/>
        <v>282194</v>
      </c>
      <c r="G218" s="78">
        <f t="shared" si="78"/>
        <v>0</v>
      </c>
      <c r="H218" s="78">
        <f t="shared" ref="H218" si="79">SUM(H205+H206+H216+H217+H215)</f>
        <v>0</v>
      </c>
      <c r="I218" s="78">
        <f t="shared" si="78"/>
        <v>6875</v>
      </c>
      <c r="J218" s="78">
        <f t="shared" si="78"/>
        <v>0</v>
      </c>
      <c r="K218" s="78">
        <f>SUM(K205+K206+K216+K217+K215)</f>
        <v>17103484</v>
      </c>
      <c r="L218" s="116">
        <f>SUM(L205+L206+L216+L217+L215)</f>
        <v>13195342</v>
      </c>
      <c r="M218" s="79">
        <f>SUM(M205+M206+M216+M217+M215)</f>
        <v>3908142</v>
      </c>
    </row>
    <row r="219" spans="1:13" ht="30.75" customHeight="1" x14ac:dyDescent="0.3">
      <c r="A219" s="372" t="s">
        <v>74</v>
      </c>
      <c r="B219" s="373"/>
      <c r="C219" s="374"/>
      <c r="D219" s="163">
        <f t="shared" ref="D219:L219" si="80">SUM(D88+D113+D135+D156+D179+D198+D218)</f>
        <v>230443641</v>
      </c>
      <c r="E219" s="163">
        <f t="shared" si="80"/>
        <v>231774916</v>
      </c>
      <c r="F219" s="163">
        <f t="shared" si="80"/>
        <v>0</v>
      </c>
      <c r="G219" s="163">
        <f t="shared" si="80"/>
        <v>0</v>
      </c>
      <c r="H219" s="163">
        <f t="shared" ref="H219" si="81">SUM(H88+H113+H135+H156+H179+H198+H218)</f>
        <v>-420313</v>
      </c>
      <c r="I219" s="163">
        <f t="shared" si="80"/>
        <v>-1071771</v>
      </c>
      <c r="J219" s="163">
        <f t="shared" si="80"/>
        <v>86923</v>
      </c>
      <c r="K219" s="163">
        <f t="shared" si="80"/>
        <v>230369755</v>
      </c>
      <c r="L219" s="164">
        <f t="shared" si="80"/>
        <v>157018927</v>
      </c>
      <c r="M219" s="163">
        <f>SUM(M88+M113+M135+M156+M179+M198+M218)</f>
        <v>73350828</v>
      </c>
    </row>
    <row r="220" spans="1:13" x14ac:dyDescent="0.3">
      <c r="B220" s="5"/>
      <c r="E220" s="4"/>
      <c r="F220" s="4"/>
      <c r="G220" s="4"/>
      <c r="H220" s="4"/>
      <c r="I220" s="4"/>
      <c r="J220" s="4"/>
      <c r="K220" s="4"/>
      <c r="L220" s="107"/>
    </row>
    <row r="221" spans="1:13" x14ac:dyDescent="0.3">
      <c r="B221" s="5"/>
      <c r="E221" s="4"/>
      <c r="F221" s="4"/>
      <c r="G221" s="4"/>
      <c r="H221" s="4"/>
      <c r="I221" s="4"/>
      <c r="J221" s="4"/>
      <c r="K221" s="4"/>
      <c r="L221" s="107"/>
    </row>
    <row r="222" spans="1:13" x14ac:dyDescent="0.3">
      <c r="B222" s="5"/>
      <c r="E222" s="4"/>
      <c r="F222" s="4"/>
      <c r="G222" s="4"/>
      <c r="H222" s="4"/>
      <c r="I222" s="4"/>
      <c r="J222" s="4"/>
      <c r="K222" s="4"/>
      <c r="L222" s="107"/>
    </row>
    <row r="223" spans="1:13" x14ac:dyDescent="0.3">
      <c r="B223" s="5"/>
      <c r="E223" s="4"/>
      <c r="F223" s="4"/>
      <c r="G223" s="4"/>
      <c r="H223" s="4"/>
      <c r="I223" s="4"/>
      <c r="J223" s="4"/>
      <c r="K223" s="4"/>
      <c r="L223" s="107"/>
    </row>
    <row r="224" spans="1:13" x14ac:dyDescent="0.3">
      <c r="B224" s="5"/>
      <c r="E224" s="4"/>
      <c r="F224" s="4"/>
      <c r="G224" s="4"/>
      <c r="H224" s="4"/>
      <c r="I224" s="4"/>
      <c r="J224" s="4"/>
      <c r="K224" s="4"/>
      <c r="L224" s="107"/>
    </row>
    <row r="225" spans="1:14" ht="15" thickBot="1" x14ac:dyDescent="0.35">
      <c r="B225" s="5"/>
      <c r="E225" s="4"/>
      <c r="F225" s="4"/>
      <c r="G225" s="130"/>
      <c r="H225" s="130"/>
      <c r="I225" s="4"/>
      <c r="J225" s="4"/>
      <c r="K225" s="4"/>
      <c r="L225" s="107"/>
    </row>
    <row r="226" spans="1:14" ht="15" thickTop="1" x14ac:dyDescent="0.3">
      <c r="A226" s="283" t="s">
        <v>83</v>
      </c>
      <c r="B226" s="283"/>
      <c r="C226" s="283"/>
      <c r="D226" s="283"/>
      <c r="E226" s="283"/>
      <c r="F226" s="283"/>
      <c r="G226" s="283"/>
      <c r="H226" s="283"/>
      <c r="I226" s="283"/>
      <c r="J226" s="283"/>
      <c r="K226" s="283"/>
      <c r="L226" s="283"/>
    </row>
    <row r="227" spans="1:14" s="168" customFormat="1" ht="47.25" customHeight="1" x14ac:dyDescent="0.3">
      <c r="A227" s="323" t="s">
        <v>0</v>
      </c>
      <c r="B227" s="324"/>
      <c r="C227" s="179" t="s">
        <v>3</v>
      </c>
      <c r="D227" s="179" t="s">
        <v>4</v>
      </c>
      <c r="E227" s="180" t="s">
        <v>119</v>
      </c>
      <c r="F227" s="181" t="s">
        <v>70</v>
      </c>
      <c r="G227" s="182" t="s">
        <v>122</v>
      </c>
      <c r="H227" s="182" t="s">
        <v>167</v>
      </c>
      <c r="I227" s="183" t="s">
        <v>168</v>
      </c>
      <c r="J227" s="183" t="s">
        <v>165</v>
      </c>
      <c r="K227" s="180" t="s">
        <v>166</v>
      </c>
      <c r="L227" s="184" t="s">
        <v>161</v>
      </c>
      <c r="N227" s="185"/>
    </row>
    <row r="228" spans="1:14" x14ac:dyDescent="0.3">
      <c r="A228" s="325"/>
      <c r="B228" s="326"/>
      <c r="C228" s="33" t="s">
        <v>16</v>
      </c>
      <c r="D228" s="34">
        <f t="shared" ref="D228:L229" si="82">D5+D14+D16+D18+D20+D22</f>
        <v>117230959</v>
      </c>
      <c r="E228" s="34">
        <f t="shared" si="82"/>
        <v>115186234</v>
      </c>
      <c r="F228" s="34">
        <f t="shared" si="82"/>
        <v>0</v>
      </c>
      <c r="G228" s="34">
        <f t="shared" si="82"/>
        <v>0</v>
      </c>
      <c r="H228" s="34">
        <f t="shared" ref="H228" si="83">H5+H14+H16+H18+H20+H22</f>
        <v>0</v>
      </c>
      <c r="I228" s="34">
        <f t="shared" si="82"/>
        <v>0</v>
      </c>
      <c r="J228" s="34">
        <f t="shared" si="82"/>
        <v>86923</v>
      </c>
      <c r="K228" s="34">
        <f>K5+K14+K16+K18+K20+K22</f>
        <v>115273157</v>
      </c>
      <c r="L228" s="34">
        <f t="shared" si="82"/>
        <v>67646642</v>
      </c>
    </row>
    <row r="229" spans="1:14" x14ac:dyDescent="0.3">
      <c r="A229" s="325"/>
      <c r="B229" s="326"/>
      <c r="C229" s="33" t="s">
        <v>17</v>
      </c>
      <c r="D229" s="34">
        <f t="shared" si="82"/>
        <v>16012810</v>
      </c>
      <c r="E229" s="34">
        <f t="shared" si="82"/>
        <v>16012810</v>
      </c>
      <c r="F229" s="34">
        <f t="shared" si="82"/>
        <v>0</v>
      </c>
      <c r="G229" s="34">
        <f t="shared" si="82"/>
        <v>0</v>
      </c>
      <c r="H229" s="34">
        <f t="shared" ref="H229" si="84">H6+H15+H17+H19+H21+H23</f>
        <v>0</v>
      </c>
      <c r="I229" s="34">
        <f t="shared" si="82"/>
        <v>0</v>
      </c>
      <c r="J229" s="34">
        <f t="shared" si="82"/>
        <v>0</v>
      </c>
      <c r="K229" s="34">
        <f t="shared" si="82"/>
        <v>16012810</v>
      </c>
      <c r="L229" s="34">
        <f t="shared" si="82"/>
        <v>16012810</v>
      </c>
    </row>
    <row r="230" spans="1:14" x14ac:dyDescent="0.3">
      <c r="A230" s="325"/>
      <c r="B230" s="326"/>
      <c r="C230" s="33" t="s">
        <v>18</v>
      </c>
      <c r="D230" s="34">
        <f t="shared" ref="D230:L232" si="85">D7</f>
        <v>96985672</v>
      </c>
      <c r="E230" s="34">
        <f t="shared" si="85"/>
        <v>100329672</v>
      </c>
      <c r="F230" s="34">
        <f t="shared" si="85"/>
        <v>0</v>
      </c>
      <c r="G230" s="34">
        <f t="shared" si="85"/>
        <v>0</v>
      </c>
      <c r="H230" s="34">
        <f t="shared" ref="H230" si="86">H7</f>
        <v>-420313</v>
      </c>
      <c r="I230" s="34">
        <f t="shared" si="85"/>
        <v>-1071771</v>
      </c>
      <c r="J230" s="34">
        <f t="shared" si="85"/>
        <v>0</v>
      </c>
      <c r="K230" s="34">
        <f t="shared" si="85"/>
        <v>98837588</v>
      </c>
      <c r="L230" s="34">
        <f t="shared" si="85"/>
        <v>77496655</v>
      </c>
    </row>
    <row r="231" spans="1:14" x14ac:dyDescent="0.3">
      <c r="A231" s="325"/>
      <c r="B231" s="326"/>
      <c r="C231" s="35" t="s">
        <v>22</v>
      </c>
      <c r="D231" s="34">
        <f t="shared" si="85"/>
        <v>200000</v>
      </c>
      <c r="E231" s="34">
        <f t="shared" si="85"/>
        <v>200000</v>
      </c>
      <c r="F231" s="34">
        <f t="shared" si="85"/>
        <v>0</v>
      </c>
      <c r="G231" s="34">
        <f t="shared" si="85"/>
        <v>0</v>
      </c>
      <c r="H231" s="34">
        <f t="shared" ref="H231" si="87">H8</f>
        <v>0</v>
      </c>
      <c r="I231" s="34">
        <f t="shared" si="85"/>
        <v>0</v>
      </c>
      <c r="J231" s="34">
        <f t="shared" si="85"/>
        <v>0</v>
      </c>
      <c r="K231" s="34">
        <f t="shared" si="85"/>
        <v>200000</v>
      </c>
      <c r="L231" s="34">
        <f t="shared" si="85"/>
        <v>0</v>
      </c>
    </row>
    <row r="232" spans="1:14" x14ac:dyDescent="0.3">
      <c r="A232" s="325"/>
      <c r="B232" s="326"/>
      <c r="C232" s="35" t="s">
        <v>19</v>
      </c>
      <c r="D232" s="34">
        <f t="shared" si="85"/>
        <v>13200</v>
      </c>
      <c r="E232" s="34">
        <f t="shared" si="85"/>
        <v>31926</v>
      </c>
      <c r="F232" s="34">
        <f t="shared" si="85"/>
        <v>0</v>
      </c>
      <c r="G232" s="34">
        <f t="shared" si="85"/>
        <v>0</v>
      </c>
      <c r="H232" s="34">
        <f t="shared" ref="H232" si="88">H9</f>
        <v>0</v>
      </c>
      <c r="I232" s="34">
        <f t="shared" si="85"/>
        <v>0</v>
      </c>
      <c r="J232" s="34">
        <f t="shared" si="85"/>
        <v>0</v>
      </c>
      <c r="K232" s="34">
        <f t="shared" si="85"/>
        <v>31926</v>
      </c>
      <c r="L232" s="34">
        <f t="shared" si="85"/>
        <v>24072</v>
      </c>
    </row>
    <row r="233" spans="1:14" x14ac:dyDescent="0.3">
      <c r="A233" s="325"/>
      <c r="B233" s="326"/>
      <c r="C233" s="35" t="s">
        <v>84</v>
      </c>
      <c r="D233" s="34">
        <f t="shared" ref="D233:L233" si="89">D13+D11</f>
        <v>0</v>
      </c>
      <c r="E233" s="34">
        <f t="shared" si="89"/>
        <v>12949</v>
      </c>
      <c r="F233" s="34">
        <f t="shared" si="89"/>
        <v>0</v>
      </c>
      <c r="G233" s="34">
        <f t="shared" si="89"/>
        <v>0</v>
      </c>
      <c r="H233" s="34">
        <f t="shared" ref="H233" si="90">H13+H11</f>
        <v>0</v>
      </c>
      <c r="I233" s="34">
        <f t="shared" si="89"/>
        <v>0</v>
      </c>
      <c r="J233" s="34">
        <f t="shared" si="89"/>
        <v>0</v>
      </c>
      <c r="K233" s="34">
        <f t="shared" si="89"/>
        <v>12949</v>
      </c>
      <c r="L233" s="34">
        <f t="shared" si="89"/>
        <v>4487</v>
      </c>
    </row>
    <row r="234" spans="1:14" x14ac:dyDescent="0.3">
      <c r="A234" s="325"/>
      <c r="B234" s="326"/>
      <c r="C234" s="33" t="s">
        <v>20</v>
      </c>
      <c r="D234" s="34">
        <f t="shared" ref="D234:L234" si="91">D10+D12</f>
        <v>1000</v>
      </c>
      <c r="E234" s="34">
        <f t="shared" si="91"/>
        <v>1325</v>
      </c>
      <c r="F234" s="34">
        <f t="shared" si="91"/>
        <v>0</v>
      </c>
      <c r="G234" s="34">
        <f t="shared" si="91"/>
        <v>0</v>
      </c>
      <c r="H234" s="34">
        <f t="shared" ref="H234" si="92">H10+H12</f>
        <v>0</v>
      </c>
      <c r="I234" s="34">
        <f t="shared" si="91"/>
        <v>0</v>
      </c>
      <c r="J234" s="34">
        <f t="shared" si="91"/>
        <v>0</v>
      </c>
      <c r="K234" s="34">
        <f t="shared" si="91"/>
        <v>1325</v>
      </c>
      <c r="L234" s="34">
        <f t="shared" si="91"/>
        <v>325</v>
      </c>
    </row>
    <row r="235" spans="1:14" x14ac:dyDescent="0.3">
      <c r="A235" s="325"/>
      <c r="B235" s="326"/>
      <c r="C235" s="63" t="s">
        <v>86</v>
      </c>
      <c r="D235" s="64">
        <f t="shared" ref="D235:L235" si="93">D13+D12+D11+D10+D9</f>
        <v>14200</v>
      </c>
      <c r="E235" s="64">
        <f t="shared" si="93"/>
        <v>46200</v>
      </c>
      <c r="F235" s="64">
        <f t="shared" si="93"/>
        <v>0</v>
      </c>
      <c r="G235" s="64">
        <f t="shared" si="93"/>
        <v>0</v>
      </c>
      <c r="H235" s="64">
        <f t="shared" ref="H235" si="94">H13+H12+H11+H10+H9</f>
        <v>0</v>
      </c>
      <c r="I235" s="64">
        <f t="shared" si="93"/>
        <v>0</v>
      </c>
      <c r="J235" s="64">
        <f t="shared" si="93"/>
        <v>0</v>
      </c>
      <c r="K235" s="64">
        <f t="shared" si="93"/>
        <v>46200</v>
      </c>
      <c r="L235" s="64">
        <f t="shared" si="93"/>
        <v>28884</v>
      </c>
    </row>
    <row r="236" spans="1:14" x14ac:dyDescent="0.3">
      <c r="A236" s="325"/>
      <c r="B236" s="326"/>
      <c r="C236" s="63" t="s">
        <v>87</v>
      </c>
      <c r="D236" s="64">
        <f t="shared" ref="D236:L236" si="95">D23+D21+D19+D17+D15+D7+D6</f>
        <v>112998482</v>
      </c>
      <c r="E236" s="64">
        <f t="shared" si="95"/>
        <v>116342482</v>
      </c>
      <c r="F236" s="64">
        <f t="shared" si="95"/>
        <v>0</v>
      </c>
      <c r="G236" s="64">
        <f t="shared" si="95"/>
        <v>0</v>
      </c>
      <c r="H236" s="64">
        <f t="shared" ref="H236" si="96">H23+H21+H19+H17+H15+H7+H6</f>
        <v>-420313</v>
      </c>
      <c r="I236" s="64">
        <f t="shared" si="95"/>
        <v>-1071771</v>
      </c>
      <c r="J236" s="64">
        <f t="shared" si="95"/>
        <v>0</v>
      </c>
      <c r="K236" s="64">
        <f t="shared" si="95"/>
        <v>114850398</v>
      </c>
      <c r="L236" s="64">
        <f t="shared" si="95"/>
        <v>93509465</v>
      </c>
    </row>
    <row r="237" spans="1:14" x14ac:dyDescent="0.3">
      <c r="A237" s="325"/>
      <c r="B237" s="326"/>
      <c r="C237" s="63" t="s">
        <v>94</v>
      </c>
      <c r="D237" s="64">
        <f t="shared" ref="D237:L237" si="97">D24</f>
        <v>230443641</v>
      </c>
      <c r="E237" s="64">
        <f t="shared" si="97"/>
        <v>231774916</v>
      </c>
      <c r="F237" s="64">
        <f t="shared" si="97"/>
        <v>0</v>
      </c>
      <c r="G237" s="64">
        <f t="shared" si="97"/>
        <v>0</v>
      </c>
      <c r="H237" s="64">
        <f t="shared" ref="H237" si="98">H24</f>
        <v>-420313</v>
      </c>
      <c r="I237" s="64">
        <f t="shared" si="97"/>
        <v>-1071771</v>
      </c>
      <c r="J237" s="64">
        <f t="shared" si="97"/>
        <v>86923</v>
      </c>
      <c r="K237" s="64">
        <f t="shared" si="97"/>
        <v>230369755</v>
      </c>
      <c r="L237" s="64">
        <f t="shared" si="97"/>
        <v>161184991</v>
      </c>
    </row>
    <row r="238" spans="1:14" x14ac:dyDescent="0.3">
      <c r="A238" s="325"/>
      <c r="B238" s="326"/>
      <c r="C238" s="33" t="s">
        <v>24</v>
      </c>
      <c r="D238" s="34">
        <f t="shared" ref="D238:J238" si="99">D89+D111+D114+D133+D136+D154+D157+D177+D199+D216+D180+D86+D84+D52+D25</f>
        <v>128356144</v>
      </c>
      <c r="E238" s="34">
        <f t="shared" si="99"/>
        <v>128254396</v>
      </c>
      <c r="F238" s="34">
        <f>F89+F111+F114+F133+F136+F154+F157+F177+F199+F216+F180+F86+F84+F52+F25</f>
        <v>-556218</v>
      </c>
      <c r="G238" s="34">
        <f t="shared" si="99"/>
        <v>0</v>
      </c>
      <c r="H238" s="34">
        <f t="shared" ref="H238" si="100">H89+H111+H114+H133+H136+H154+H157+H177+H199+H216+H180+H86+H84+H52+H25</f>
        <v>0</v>
      </c>
      <c r="I238" s="34">
        <f t="shared" si="99"/>
        <v>-908397</v>
      </c>
      <c r="J238" s="34">
        <f t="shared" si="99"/>
        <v>73977</v>
      </c>
      <c r="K238" s="34">
        <f>K216+K199+K180+K177+K157+K154+K136+K133+K114+K111+K89+K86+K84+K52+K25</f>
        <v>126863758</v>
      </c>
      <c r="L238" s="34">
        <f>L216+L199+L180+L177+L157+L154+L136+L133+L114+L111+L89+L86+L84+L52+L25</f>
        <v>98766215</v>
      </c>
    </row>
    <row r="239" spans="1:14" x14ac:dyDescent="0.3">
      <c r="A239" s="325"/>
      <c r="B239" s="326"/>
      <c r="C239" s="33" t="s">
        <v>47</v>
      </c>
      <c r="D239" s="34">
        <f t="shared" ref="D239:L240" si="101">D53</f>
        <v>2040480</v>
      </c>
      <c r="E239" s="34">
        <f t="shared" si="101"/>
        <v>2040480</v>
      </c>
      <c r="F239" s="34">
        <f t="shared" si="101"/>
        <v>0</v>
      </c>
      <c r="G239" s="34">
        <f t="shared" si="101"/>
        <v>0</v>
      </c>
      <c r="H239" s="34">
        <f t="shared" ref="H239" si="102">H53</f>
        <v>0</v>
      </c>
      <c r="I239" s="34">
        <f t="shared" si="101"/>
        <v>0</v>
      </c>
      <c r="J239" s="34">
        <f t="shared" si="101"/>
        <v>0</v>
      </c>
      <c r="K239" s="34">
        <f t="shared" si="101"/>
        <v>2040480</v>
      </c>
      <c r="L239" s="41">
        <f t="shared" si="101"/>
        <v>1595194</v>
      </c>
    </row>
    <row r="240" spans="1:14" x14ac:dyDescent="0.3">
      <c r="A240" s="325"/>
      <c r="B240" s="326"/>
      <c r="C240" s="33" t="s">
        <v>48</v>
      </c>
      <c r="D240" s="34">
        <f t="shared" si="101"/>
        <v>0</v>
      </c>
      <c r="E240" s="34">
        <f t="shared" si="101"/>
        <v>0</v>
      </c>
      <c r="F240" s="34">
        <f t="shared" si="101"/>
        <v>0</v>
      </c>
      <c r="G240" s="34">
        <f t="shared" si="101"/>
        <v>0</v>
      </c>
      <c r="H240" s="34">
        <f t="shared" ref="H240" si="103">H54</f>
        <v>0</v>
      </c>
      <c r="I240" s="34">
        <f t="shared" si="101"/>
        <v>0</v>
      </c>
      <c r="J240" s="34">
        <f t="shared" si="101"/>
        <v>0</v>
      </c>
      <c r="K240" s="34">
        <f t="shared" si="101"/>
        <v>0</v>
      </c>
      <c r="L240" s="34">
        <f t="shared" si="101"/>
        <v>0</v>
      </c>
    </row>
    <row r="241" spans="1:12" x14ac:dyDescent="0.3">
      <c r="A241" s="325"/>
      <c r="B241" s="326"/>
      <c r="C241" s="35" t="s">
        <v>25</v>
      </c>
      <c r="D241" s="34">
        <f t="shared" ref="D241:L242" si="104">D200+D158+D137+D115+D90+D55+D26</f>
        <v>3992000</v>
      </c>
      <c r="E241" s="34">
        <f t="shared" si="104"/>
        <v>3992000</v>
      </c>
      <c r="F241" s="34">
        <f t="shared" si="104"/>
        <v>0</v>
      </c>
      <c r="G241" s="34">
        <f t="shared" si="104"/>
        <v>0</v>
      </c>
      <c r="H241" s="34">
        <f t="shared" ref="H241" si="105">H200+H158+H137+H115+H90+H55+H26</f>
        <v>0</v>
      </c>
      <c r="I241" s="34">
        <f t="shared" si="104"/>
        <v>0</v>
      </c>
      <c r="J241" s="34">
        <f t="shared" si="104"/>
        <v>0</v>
      </c>
      <c r="K241" s="34">
        <f t="shared" si="104"/>
        <v>3992000</v>
      </c>
      <c r="L241" s="34">
        <f t="shared" si="104"/>
        <v>3752500</v>
      </c>
    </row>
    <row r="242" spans="1:12" x14ac:dyDescent="0.3">
      <c r="A242" s="325"/>
      <c r="B242" s="326"/>
      <c r="C242" s="35" t="s">
        <v>26</v>
      </c>
      <c r="D242" s="34">
        <f t="shared" si="104"/>
        <v>200000</v>
      </c>
      <c r="E242" s="34">
        <f t="shared" si="104"/>
        <v>200000</v>
      </c>
      <c r="F242" s="34">
        <f t="shared" si="104"/>
        <v>0</v>
      </c>
      <c r="G242" s="34">
        <f t="shared" si="104"/>
        <v>0</v>
      </c>
      <c r="H242" s="34">
        <f t="shared" ref="H242" si="106">H201+H159+H138+H116+H91+H56+H27</f>
        <v>0</v>
      </c>
      <c r="I242" s="34">
        <f t="shared" si="104"/>
        <v>0</v>
      </c>
      <c r="J242" s="34">
        <f t="shared" si="104"/>
        <v>0</v>
      </c>
      <c r="K242" s="34">
        <f t="shared" si="104"/>
        <v>200000</v>
      </c>
      <c r="L242" s="34">
        <f t="shared" si="104"/>
        <v>0</v>
      </c>
    </row>
    <row r="243" spans="1:12" x14ac:dyDescent="0.3">
      <c r="A243" s="325"/>
      <c r="B243" s="326"/>
      <c r="C243" s="33" t="s">
        <v>27</v>
      </c>
      <c r="D243" s="34">
        <f t="shared" ref="D243:L243" si="107">D202+D139+D92+D57+D28</f>
        <v>1661400</v>
      </c>
      <c r="E243" s="34">
        <f t="shared" si="107"/>
        <v>1661400</v>
      </c>
      <c r="F243" s="34">
        <f t="shared" si="107"/>
        <v>0</v>
      </c>
      <c r="G243" s="34">
        <f t="shared" si="107"/>
        <v>0</v>
      </c>
      <c r="H243" s="34">
        <f t="shared" ref="H243" si="108">H202+H139+H92+H57+H28</f>
        <v>0</v>
      </c>
      <c r="I243" s="34">
        <f t="shared" si="107"/>
        <v>0</v>
      </c>
      <c r="J243" s="34">
        <f t="shared" si="107"/>
        <v>0</v>
      </c>
      <c r="K243" s="34">
        <f t="shared" si="107"/>
        <v>1661400</v>
      </c>
      <c r="L243" s="34">
        <f t="shared" si="107"/>
        <v>1012620</v>
      </c>
    </row>
    <row r="244" spans="1:12" x14ac:dyDescent="0.3">
      <c r="A244" s="325"/>
      <c r="B244" s="326"/>
      <c r="C244" s="35" t="s">
        <v>28</v>
      </c>
      <c r="D244" s="34">
        <f t="shared" ref="D244:L244" si="109">D203+D160+D140+D117+D58+D29+D93</f>
        <v>481000</v>
      </c>
      <c r="E244" s="34">
        <f t="shared" si="109"/>
        <v>481000</v>
      </c>
      <c r="F244" s="34">
        <f t="shared" si="109"/>
        <v>0</v>
      </c>
      <c r="G244" s="34">
        <f t="shared" si="109"/>
        <v>0</v>
      </c>
      <c r="H244" s="34">
        <f t="shared" ref="H244" si="110">H203+H160+H140+H117+H58+H29+H93</f>
        <v>0</v>
      </c>
      <c r="I244" s="34">
        <f t="shared" si="109"/>
        <v>0</v>
      </c>
      <c r="J244" s="34">
        <f t="shared" si="109"/>
        <v>0</v>
      </c>
      <c r="K244" s="34">
        <f t="shared" si="109"/>
        <v>481000</v>
      </c>
      <c r="L244" s="34">
        <f t="shared" si="109"/>
        <v>222000</v>
      </c>
    </row>
    <row r="245" spans="1:12" x14ac:dyDescent="0.3">
      <c r="A245" s="325"/>
      <c r="B245" s="326"/>
      <c r="C245" s="33" t="s">
        <v>29</v>
      </c>
      <c r="D245" s="34">
        <f t="shared" ref="D245:L245" si="111">D204+D175+D161+D141+D118+D109+D94+D82+D80+D59+D30+D131</f>
        <v>3451400</v>
      </c>
      <c r="E245" s="34">
        <f t="shared" si="111"/>
        <v>4640408</v>
      </c>
      <c r="F245" s="34">
        <f t="shared" si="111"/>
        <v>528698</v>
      </c>
      <c r="G245" s="34">
        <f t="shared" si="111"/>
        <v>0</v>
      </c>
      <c r="H245" s="34">
        <f t="shared" ref="H245" si="112">H204+H175+H161+H141+H118+H109+H94+H82+H80+H59+H30+H131</f>
        <v>-355200</v>
      </c>
      <c r="I245" s="34">
        <f t="shared" si="111"/>
        <v>0</v>
      </c>
      <c r="J245" s="34">
        <f t="shared" si="111"/>
        <v>0</v>
      </c>
      <c r="K245" s="34">
        <f t="shared" si="111"/>
        <v>4813906</v>
      </c>
      <c r="L245" s="34">
        <f t="shared" si="111"/>
        <v>2814436</v>
      </c>
    </row>
    <row r="246" spans="1:12" x14ac:dyDescent="0.3">
      <c r="A246" s="325"/>
      <c r="B246" s="326"/>
      <c r="C246" s="35" t="s">
        <v>30</v>
      </c>
      <c r="D246" s="34">
        <f t="shared" ref="D246:L246" si="113">D162+D142+D119+D60+D31+D181</f>
        <v>200000</v>
      </c>
      <c r="E246" s="34">
        <f t="shared" si="113"/>
        <v>200000</v>
      </c>
      <c r="F246" s="34">
        <f>F162+F142+F119+F60+F31+F181+F95</f>
        <v>27520</v>
      </c>
      <c r="G246" s="34">
        <f t="shared" si="113"/>
        <v>0</v>
      </c>
      <c r="H246" s="34">
        <f t="shared" ref="H246" si="114">H162+H142+H119+H60+H31+H181</f>
        <v>0</v>
      </c>
      <c r="I246" s="34">
        <f t="shared" si="113"/>
        <v>0</v>
      </c>
      <c r="J246" s="34">
        <f t="shared" si="113"/>
        <v>0</v>
      </c>
      <c r="K246" s="34">
        <f>K162+K142+K119+K60+K31+K181+K95</f>
        <v>227520</v>
      </c>
      <c r="L246" s="34">
        <f t="shared" si="113"/>
        <v>39304</v>
      </c>
    </row>
    <row r="247" spans="1:12" x14ac:dyDescent="0.3">
      <c r="A247" s="325"/>
      <c r="B247" s="326"/>
      <c r="C247" s="63" t="s">
        <v>53</v>
      </c>
      <c r="D247" s="64">
        <f t="shared" ref="D247:L247" si="115">D205+D182+D163+D143+D216+D177+D154+D133+D131+D175+D120+D111+D109+D96+D86+D84+D82+D80+D61+D32</f>
        <v>140382424</v>
      </c>
      <c r="E247" s="64">
        <f t="shared" si="115"/>
        <v>141469684</v>
      </c>
      <c r="F247" s="64">
        <f t="shared" si="115"/>
        <v>0</v>
      </c>
      <c r="G247" s="64">
        <f t="shared" si="115"/>
        <v>0</v>
      </c>
      <c r="H247" s="64">
        <f t="shared" ref="H247" si="116">H205+H182+H163+H143+H216+H177+H154+H133+H131+H175+H120+H111+H109+H96+H86+H84+H82+H80+H61+H32</f>
        <v>-355200</v>
      </c>
      <c r="I247" s="64">
        <f t="shared" si="115"/>
        <v>-908397</v>
      </c>
      <c r="J247" s="64">
        <f t="shared" si="115"/>
        <v>73977</v>
      </c>
      <c r="K247" s="64">
        <f t="shared" si="115"/>
        <v>140280064</v>
      </c>
      <c r="L247" s="64">
        <f t="shared" si="115"/>
        <v>108202269</v>
      </c>
    </row>
    <row r="248" spans="1:12" x14ac:dyDescent="0.3">
      <c r="A248" s="325"/>
      <c r="B248" s="326"/>
      <c r="C248" s="65" t="s">
        <v>31</v>
      </c>
      <c r="D248" s="64">
        <f t="shared" ref="D248:L248" si="117">D206+D183+D178+D176+D217+D164+D155+D144+D134+D132+D121+D112+D110+D97+D87+D85+D83+D81+D62+D33</f>
        <v>27536677</v>
      </c>
      <c r="E248" s="64">
        <f t="shared" si="117"/>
        <v>32023242</v>
      </c>
      <c r="F248" s="64">
        <f t="shared" si="117"/>
        <v>0</v>
      </c>
      <c r="G248" s="64">
        <f t="shared" si="117"/>
        <v>0</v>
      </c>
      <c r="H248" s="64">
        <f t="shared" ref="H248" si="118">H206+H183+H178+H176+H217+H164+H155+H144+H134+H132+H121+H112+H110+H97+H87+H85+H83+H81+H62+H33</f>
        <v>-65113</v>
      </c>
      <c r="I248" s="64">
        <f t="shared" si="117"/>
        <v>-163374</v>
      </c>
      <c r="J248" s="64">
        <f t="shared" si="117"/>
        <v>12946</v>
      </c>
      <c r="K248" s="64">
        <f t="shared" si="117"/>
        <v>31807701</v>
      </c>
      <c r="L248" s="64">
        <f t="shared" si="117"/>
        <v>24567716</v>
      </c>
    </row>
    <row r="249" spans="1:12" x14ac:dyDescent="0.3">
      <c r="A249" s="325"/>
      <c r="B249" s="326"/>
      <c r="C249" s="33" t="s">
        <v>32</v>
      </c>
      <c r="D249" s="34">
        <f t="shared" ref="D249:L249" si="119">D165+D145+D122+D98+D63+D34+D207</f>
        <v>540000</v>
      </c>
      <c r="E249" s="34">
        <f t="shared" si="119"/>
        <v>500000</v>
      </c>
      <c r="F249" s="34">
        <f t="shared" si="119"/>
        <v>224254</v>
      </c>
      <c r="G249" s="34">
        <f t="shared" si="119"/>
        <v>0</v>
      </c>
      <c r="H249" s="34">
        <f t="shared" ref="H249" si="120">H165+H145+H122+H98+H63+H34+H207</f>
        <v>0</v>
      </c>
      <c r="I249" s="34">
        <f t="shared" si="119"/>
        <v>0</v>
      </c>
      <c r="J249" s="34">
        <f t="shared" si="119"/>
        <v>0</v>
      </c>
      <c r="K249" s="34">
        <f t="shared" si="119"/>
        <v>724254</v>
      </c>
      <c r="L249" s="34">
        <f t="shared" si="119"/>
        <v>63152</v>
      </c>
    </row>
    <row r="250" spans="1:12" x14ac:dyDescent="0.3">
      <c r="A250" s="325"/>
      <c r="B250" s="326"/>
      <c r="C250" s="35" t="s">
        <v>33</v>
      </c>
      <c r="D250" s="34">
        <f t="shared" ref="D250:L250" si="121">D184+D166+D146+D123+D99+D64+D35+D208</f>
        <v>1700000</v>
      </c>
      <c r="E250" s="34">
        <f t="shared" si="121"/>
        <v>1909887</v>
      </c>
      <c r="F250" s="34">
        <f t="shared" si="121"/>
        <v>-292515</v>
      </c>
      <c r="G250" s="34">
        <f t="shared" si="121"/>
        <v>0</v>
      </c>
      <c r="H250" s="34">
        <f t="shared" ref="H250" si="122">H184+H166+H146+H123+H99+H64+H35+H208</f>
        <v>0</v>
      </c>
      <c r="I250" s="34">
        <f t="shared" si="121"/>
        <v>0</v>
      </c>
      <c r="J250" s="34">
        <f t="shared" si="121"/>
        <v>0</v>
      </c>
      <c r="K250" s="34">
        <f t="shared" si="121"/>
        <v>1617372</v>
      </c>
      <c r="L250" s="34">
        <f t="shared" si="121"/>
        <v>314080</v>
      </c>
    </row>
    <row r="251" spans="1:12" x14ac:dyDescent="0.3">
      <c r="A251" s="325"/>
      <c r="B251" s="326"/>
      <c r="C251" s="33" t="s">
        <v>34</v>
      </c>
      <c r="D251" s="34">
        <f t="shared" ref="D251:L251" si="123">D167+D147+D124+D100+D65+D36</f>
        <v>1036000</v>
      </c>
      <c r="E251" s="34">
        <f t="shared" si="123"/>
        <v>988000</v>
      </c>
      <c r="F251" s="34">
        <f t="shared" si="123"/>
        <v>-310000</v>
      </c>
      <c r="G251" s="34">
        <f t="shared" si="123"/>
        <v>0</v>
      </c>
      <c r="H251" s="34">
        <f t="shared" ref="H251" si="124">H167+H147+H124+H100+H65+H36</f>
        <v>0</v>
      </c>
      <c r="I251" s="34">
        <f t="shared" si="123"/>
        <v>0</v>
      </c>
      <c r="J251" s="34">
        <f t="shared" si="123"/>
        <v>0</v>
      </c>
      <c r="K251" s="34">
        <f t="shared" si="123"/>
        <v>678000</v>
      </c>
      <c r="L251" s="34">
        <f t="shared" si="123"/>
        <v>183356</v>
      </c>
    </row>
    <row r="252" spans="1:12" x14ac:dyDescent="0.3">
      <c r="A252" s="325"/>
      <c r="B252" s="326"/>
      <c r="C252" s="33" t="s">
        <v>35</v>
      </c>
      <c r="D252" s="34">
        <f t="shared" ref="D252:L252" si="125">D209+D168+D101+D66+D37</f>
        <v>610000</v>
      </c>
      <c r="E252" s="34">
        <f t="shared" si="125"/>
        <v>617000</v>
      </c>
      <c r="F252" s="34">
        <f t="shared" si="125"/>
        <v>-90000</v>
      </c>
      <c r="G252" s="34">
        <f t="shared" si="125"/>
        <v>0</v>
      </c>
      <c r="H252" s="34">
        <f t="shared" ref="H252" si="126">H209+H168+H101+H66+H37</f>
        <v>0</v>
      </c>
      <c r="I252" s="34">
        <f t="shared" si="125"/>
        <v>0</v>
      </c>
      <c r="J252" s="34">
        <f t="shared" si="125"/>
        <v>0</v>
      </c>
      <c r="K252" s="34">
        <f t="shared" si="125"/>
        <v>527000</v>
      </c>
      <c r="L252" s="34">
        <f t="shared" si="125"/>
        <v>186915</v>
      </c>
    </row>
    <row r="253" spans="1:12" x14ac:dyDescent="0.3">
      <c r="A253" s="325"/>
      <c r="B253" s="326"/>
      <c r="C253" s="33" t="s">
        <v>36</v>
      </c>
      <c r="D253" s="34">
        <f t="shared" ref="D253:L253" si="127">D102+D67+D38</f>
        <v>1739080</v>
      </c>
      <c r="E253" s="34">
        <f t="shared" si="127"/>
        <v>1738180</v>
      </c>
      <c r="F253" s="34">
        <f>F102+F67+F38</f>
        <v>0</v>
      </c>
      <c r="G253" s="34">
        <f t="shared" si="127"/>
        <v>0</v>
      </c>
      <c r="H253" s="34">
        <f t="shared" ref="H253" si="128">H102+H67+H38</f>
        <v>0</v>
      </c>
      <c r="I253" s="34">
        <f t="shared" si="127"/>
        <v>0</v>
      </c>
      <c r="J253" s="34">
        <f t="shared" si="127"/>
        <v>0</v>
      </c>
      <c r="K253" s="34">
        <f t="shared" si="127"/>
        <v>1738180</v>
      </c>
      <c r="L253" s="34">
        <f t="shared" si="127"/>
        <v>1209636</v>
      </c>
    </row>
    <row r="254" spans="1:12" x14ac:dyDescent="0.3">
      <c r="A254" s="325"/>
      <c r="B254" s="326"/>
      <c r="C254" s="38" t="s">
        <v>37</v>
      </c>
      <c r="D254" s="34">
        <f t="shared" ref="D254:L254" si="129">D185+D68+D39</f>
        <v>356000</v>
      </c>
      <c r="E254" s="34">
        <f t="shared" si="129"/>
        <v>356000</v>
      </c>
      <c r="F254" s="34">
        <f t="shared" si="129"/>
        <v>0</v>
      </c>
      <c r="G254" s="34">
        <f t="shared" si="129"/>
        <v>0</v>
      </c>
      <c r="H254" s="34">
        <f t="shared" ref="H254" si="130">H185+H68+H39</f>
        <v>0</v>
      </c>
      <c r="I254" s="34">
        <f t="shared" si="129"/>
        <v>0</v>
      </c>
      <c r="J254" s="34">
        <f t="shared" si="129"/>
        <v>0</v>
      </c>
      <c r="K254" s="34">
        <f t="shared" si="129"/>
        <v>356000</v>
      </c>
      <c r="L254" s="34">
        <f t="shared" si="129"/>
        <v>0</v>
      </c>
    </row>
    <row r="255" spans="1:12" x14ac:dyDescent="0.3">
      <c r="A255" s="325"/>
      <c r="B255" s="326"/>
      <c r="C255" s="33" t="s">
        <v>38</v>
      </c>
      <c r="D255" s="34">
        <f t="shared" ref="D255:L255" si="131">D169+D148+D125+D103+D69+D40+D210</f>
        <v>1394000</v>
      </c>
      <c r="E255" s="34">
        <f t="shared" si="131"/>
        <v>1384180</v>
      </c>
      <c r="F255" s="34">
        <f t="shared" si="131"/>
        <v>-21739</v>
      </c>
      <c r="G255" s="34">
        <f t="shared" si="131"/>
        <v>0</v>
      </c>
      <c r="H255" s="34">
        <f t="shared" ref="H255" si="132">H169+H148+H125+H103+H69+H40+H210</f>
        <v>0</v>
      </c>
      <c r="I255" s="34">
        <f t="shared" si="131"/>
        <v>0</v>
      </c>
      <c r="J255" s="34">
        <f t="shared" si="131"/>
        <v>0</v>
      </c>
      <c r="K255" s="34">
        <f t="shared" si="131"/>
        <v>1362441</v>
      </c>
      <c r="L255" s="34">
        <f t="shared" si="131"/>
        <v>436870</v>
      </c>
    </row>
    <row r="256" spans="1:12" x14ac:dyDescent="0.3">
      <c r="A256" s="325"/>
      <c r="B256" s="326"/>
      <c r="C256" s="33" t="s">
        <v>39</v>
      </c>
      <c r="D256" s="34">
        <f t="shared" ref="D256:L256" si="133">D41</f>
        <v>13200</v>
      </c>
      <c r="E256" s="34">
        <f t="shared" si="133"/>
        <v>31926</v>
      </c>
      <c r="F256" s="34">
        <f t="shared" si="133"/>
        <v>0</v>
      </c>
      <c r="G256" s="34">
        <f t="shared" si="133"/>
        <v>0</v>
      </c>
      <c r="H256" s="34">
        <f t="shared" ref="H256" si="134">H41</f>
        <v>0</v>
      </c>
      <c r="I256" s="34">
        <f t="shared" si="133"/>
        <v>0</v>
      </c>
      <c r="J256" s="34">
        <f t="shared" si="133"/>
        <v>0</v>
      </c>
      <c r="K256" s="34">
        <f t="shared" si="133"/>
        <v>31926</v>
      </c>
      <c r="L256" s="34">
        <f t="shared" si="133"/>
        <v>24072</v>
      </c>
    </row>
    <row r="257" spans="1:12" x14ac:dyDescent="0.3">
      <c r="A257" s="325"/>
      <c r="B257" s="326"/>
      <c r="C257" s="36" t="s">
        <v>40</v>
      </c>
      <c r="D257" s="34">
        <f t="shared" ref="D257:L257" si="135">D186+D170+D149+D126+D104+D70+D42</f>
        <v>16415104</v>
      </c>
      <c r="E257" s="34">
        <f t="shared" si="135"/>
        <v>16353704</v>
      </c>
      <c r="F257" s="34">
        <f t="shared" si="135"/>
        <v>-108636</v>
      </c>
      <c r="G257" s="34">
        <f t="shared" si="135"/>
        <v>0</v>
      </c>
      <c r="H257" s="34">
        <f t="shared" ref="H257" si="136">H186+H170+H149+H126+H104+H70+H42</f>
        <v>0</v>
      </c>
      <c r="I257" s="34">
        <f t="shared" si="135"/>
        <v>0</v>
      </c>
      <c r="J257" s="34">
        <f t="shared" si="135"/>
        <v>0</v>
      </c>
      <c r="K257" s="34">
        <f t="shared" si="135"/>
        <v>16245068</v>
      </c>
      <c r="L257" s="34">
        <f t="shared" si="135"/>
        <v>624836</v>
      </c>
    </row>
    <row r="258" spans="1:12" x14ac:dyDescent="0.3">
      <c r="A258" s="325"/>
      <c r="B258" s="326"/>
      <c r="C258" s="33" t="s">
        <v>41</v>
      </c>
      <c r="D258" s="34">
        <f t="shared" ref="D258:L258" si="137">D187+D171+D150+D127+D105+D71+D43+D211</f>
        <v>26876743</v>
      </c>
      <c r="E258" s="34">
        <f t="shared" si="137"/>
        <v>14459819</v>
      </c>
      <c r="F258" s="34">
        <f t="shared" si="137"/>
        <v>638636</v>
      </c>
      <c r="G258" s="34">
        <f t="shared" si="137"/>
        <v>0</v>
      </c>
      <c r="H258" s="34">
        <f t="shared" ref="H258" si="138">H187+H171+H150+H127+H105+H71+H43+H211</f>
        <v>0</v>
      </c>
      <c r="I258" s="34">
        <f t="shared" si="137"/>
        <v>0</v>
      </c>
      <c r="J258" s="34">
        <f t="shared" si="137"/>
        <v>0</v>
      </c>
      <c r="K258" s="34">
        <f t="shared" si="137"/>
        <v>15098455</v>
      </c>
      <c r="L258" s="34">
        <f t="shared" si="137"/>
        <v>7086997</v>
      </c>
    </row>
    <row r="259" spans="1:12" x14ac:dyDescent="0.3">
      <c r="A259" s="325"/>
      <c r="B259" s="326"/>
      <c r="C259" s="35" t="s">
        <v>42</v>
      </c>
      <c r="D259" s="34">
        <f t="shared" ref="D259:L259" si="139">D212+D188+D172+D151+D128+D106+D72+D44</f>
        <v>2852000</v>
      </c>
      <c r="E259" s="34">
        <f t="shared" si="139"/>
        <v>2889440</v>
      </c>
      <c r="F259" s="34">
        <f t="shared" si="139"/>
        <v>-120000</v>
      </c>
      <c r="G259" s="34">
        <f t="shared" si="139"/>
        <v>0</v>
      </c>
      <c r="H259" s="34">
        <f t="shared" ref="H259" si="140">H212+H188+H172+H151+H128+H106+H72+H44</f>
        <v>0</v>
      </c>
      <c r="I259" s="34">
        <f t="shared" si="139"/>
        <v>0</v>
      </c>
      <c r="J259" s="34">
        <f t="shared" si="139"/>
        <v>0</v>
      </c>
      <c r="K259" s="34">
        <f t="shared" si="139"/>
        <v>2769440</v>
      </c>
      <c r="L259" s="34">
        <f t="shared" si="139"/>
        <v>1317378</v>
      </c>
    </row>
    <row r="260" spans="1:12" x14ac:dyDescent="0.3">
      <c r="A260" s="325"/>
      <c r="B260" s="326"/>
      <c r="C260" s="35" t="s">
        <v>43</v>
      </c>
      <c r="D260" s="34">
        <f t="shared" ref="D260:L260" si="141">D45+D73+D189</f>
        <v>290000</v>
      </c>
      <c r="E260" s="34">
        <f t="shared" si="141"/>
        <v>290000</v>
      </c>
      <c r="F260" s="34">
        <f t="shared" si="141"/>
        <v>0</v>
      </c>
      <c r="G260" s="34">
        <f t="shared" si="141"/>
        <v>0</v>
      </c>
      <c r="H260" s="34">
        <f t="shared" ref="H260" si="142">H45+H73+H189</f>
        <v>0</v>
      </c>
      <c r="I260" s="34">
        <f t="shared" si="141"/>
        <v>0</v>
      </c>
      <c r="J260" s="34">
        <f t="shared" si="141"/>
        <v>0</v>
      </c>
      <c r="K260" s="34">
        <f t="shared" si="141"/>
        <v>290000</v>
      </c>
      <c r="L260" s="34">
        <f t="shared" si="141"/>
        <v>0</v>
      </c>
    </row>
    <row r="261" spans="1:12" x14ac:dyDescent="0.3">
      <c r="A261" s="325"/>
      <c r="B261" s="326"/>
      <c r="C261" s="33" t="s">
        <v>44</v>
      </c>
      <c r="D261" s="34">
        <f t="shared" ref="D261:L261" si="143">D213+D190+D173+D152+D129+D107+D74+D46</f>
        <v>7754652</v>
      </c>
      <c r="E261" s="34">
        <f t="shared" si="143"/>
        <v>5316093</v>
      </c>
      <c r="F261" s="34">
        <f t="shared" si="143"/>
        <v>30000</v>
      </c>
      <c r="G261" s="34">
        <f t="shared" si="143"/>
        <v>0</v>
      </c>
      <c r="H261" s="34">
        <f t="shared" ref="H261" si="144">H213+H190+H173+H152+H129+H107+H74+H46</f>
        <v>0</v>
      </c>
      <c r="I261" s="34">
        <f t="shared" si="143"/>
        <v>0</v>
      </c>
      <c r="J261" s="34">
        <f t="shared" si="143"/>
        <v>0</v>
      </c>
      <c r="K261" s="34">
        <f t="shared" si="143"/>
        <v>5346093</v>
      </c>
      <c r="L261" s="34">
        <f t="shared" si="143"/>
        <v>2000428</v>
      </c>
    </row>
    <row r="262" spans="1:12" x14ac:dyDescent="0.3">
      <c r="A262" s="325"/>
      <c r="B262" s="326"/>
      <c r="C262" s="37" t="s">
        <v>45</v>
      </c>
      <c r="D262" s="34">
        <f t="shared" ref="D262:L262" si="145">D214+D191+D75+D47</f>
        <v>743011</v>
      </c>
      <c r="E262" s="34">
        <f t="shared" si="145"/>
        <v>743011</v>
      </c>
      <c r="F262" s="34">
        <f t="shared" si="145"/>
        <v>50000</v>
      </c>
      <c r="G262" s="34">
        <f t="shared" si="145"/>
        <v>0</v>
      </c>
      <c r="H262" s="34">
        <f t="shared" ref="H262" si="146">H214+H191+H75+H47</f>
        <v>0</v>
      </c>
      <c r="I262" s="34">
        <f t="shared" si="145"/>
        <v>0</v>
      </c>
      <c r="J262" s="34">
        <f t="shared" si="145"/>
        <v>0</v>
      </c>
      <c r="K262" s="34">
        <f t="shared" si="145"/>
        <v>793011</v>
      </c>
      <c r="L262" s="34">
        <f t="shared" si="145"/>
        <v>301222</v>
      </c>
    </row>
    <row r="263" spans="1:12" x14ac:dyDescent="0.3">
      <c r="A263" s="325"/>
      <c r="B263" s="326"/>
      <c r="C263" s="63" t="s">
        <v>49</v>
      </c>
      <c r="D263" s="64">
        <f t="shared" ref="D263:L263" si="147">D215+D192+D174+D153+D130+D108+D76+D48</f>
        <v>62319790</v>
      </c>
      <c r="E263" s="64">
        <f t="shared" si="147"/>
        <v>47577240</v>
      </c>
      <c r="F263" s="64">
        <f t="shared" si="147"/>
        <v>0</v>
      </c>
      <c r="G263" s="64">
        <f t="shared" si="147"/>
        <v>0</v>
      </c>
      <c r="H263" s="64">
        <f t="shared" ref="H263" si="148">H215+H192+H174+H153+H130+H108+H76+H48</f>
        <v>0</v>
      </c>
      <c r="I263" s="64">
        <f t="shared" si="147"/>
        <v>0</v>
      </c>
      <c r="J263" s="64">
        <f t="shared" si="147"/>
        <v>0</v>
      </c>
      <c r="K263" s="64">
        <f t="shared" si="147"/>
        <v>47577240</v>
      </c>
      <c r="L263" s="64">
        <f t="shared" si="147"/>
        <v>13748942</v>
      </c>
    </row>
    <row r="264" spans="1:12" x14ac:dyDescent="0.3">
      <c r="A264" s="325"/>
      <c r="B264" s="326"/>
      <c r="C264" s="63" t="s">
        <v>100</v>
      </c>
      <c r="D264" s="64">
        <f>D197</f>
        <v>0</v>
      </c>
      <c r="E264" s="64">
        <f t="shared" ref="E264:L264" si="149">E197</f>
        <v>10500000</v>
      </c>
      <c r="F264" s="64">
        <f t="shared" si="149"/>
        <v>0</v>
      </c>
      <c r="G264" s="64">
        <f t="shared" si="149"/>
        <v>0</v>
      </c>
      <c r="H264" s="64">
        <f t="shared" ref="H264" si="150">H197</f>
        <v>0</v>
      </c>
      <c r="I264" s="64">
        <f t="shared" si="149"/>
        <v>0</v>
      </c>
      <c r="J264" s="64">
        <f t="shared" si="149"/>
        <v>0</v>
      </c>
      <c r="K264" s="64">
        <f t="shared" si="149"/>
        <v>10500000</v>
      </c>
      <c r="L264" s="64">
        <f t="shared" si="149"/>
        <v>10500000</v>
      </c>
    </row>
    <row r="265" spans="1:12" x14ac:dyDescent="0.3">
      <c r="A265" s="325"/>
      <c r="B265" s="326"/>
      <c r="C265" s="38" t="s">
        <v>50</v>
      </c>
      <c r="D265" s="34">
        <f t="shared" ref="D265:L267" si="151">D194+D77+D49</f>
        <v>161220</v>
      </c>
      <c r="E265" s="34">
        <f t="shared" si="151"/>
        <v>161220</v>
      </c>
      <c r="F265" s="34">
        <f t="shared" si="151"/>
        <v>0</v>
      </c>
      <c r="G265" s="34">
        <f t="shared" si="151"/>
        <v>0</v>
      </c>
      <c r="H265" s="34">
        <f t="shared" ref="H265" si="152">H194+H77+H49</f>
        <v>0</v>
      </c>
      <c r="I265" s="34">
        <f t="shared" si="151"/>
        <v>0</v>
      </c>
      <c r="J265" s="34">
        <f t="shared" si="151"/>
        <v>0</v>
      </c>
      <c r="K265" s="34">
        <f t="shared" si="151"/>
        <v>161220</v>
      </c>
      <c r="L265" s="34">
        <f t="shared" si="151"/>
        <v>0</v>
      </c>
    </row>
    <row r="266" spans="1:12" x14ac:dyDescent="0.3">
      <c r="A266" s="325"/>
      <c r="B266" s="326"/>
      <c r="C266" s="37" t="s">
        <v>51</v>
      </c>
      <c r="D266" s="34">
        <f t="shared" si="151"/>
        <v>43530</v>
      </c>
      <c r="E266" s="34">
        <f t="shared" si="151"/>
        <v>43530</v>
      </c>
      <c r="F266" s="34">
        <f t="shared" si="151"/>
        <v>0</v>
      </c>
      <c r="G266" s="34">
        <f t="shared" si="151"/>
        <v>0</v>
      </c>
      <c r="H266" s="34">
        <f t="shared" ref="H266" si="153">H195+H78+H50</f>
        <v>0</v>
      </c>
      <c r="I266" s="34">
        <f t="shared" si="151"/>
        <v>0</v>
      </c>
      <c r="J266" s="34">
        <f t="shared" si="151"/>
        <v>0</v>
      </c>
      <c r="K266" s="34">
        <f t="shared" si="151"/>
        <v>43530</v>
      </c>
      <c r="L266" s="34">
        <f t="shared" si="151"/>
        <v>0</v>
      </c>
    </row>
    <row r="267" spans="1:12" x14ac:dyDescent="0.3">
      <c r="A267" s="325"/>
      <c r="B267" s="326"/>
      <c r="C267" s="63" t="s">
        <v>52</v>
      </c>
      <c r="D267" s="66">
        <f t="shared" si="151"/>
        <v>204750</v>
      </c>
      <c r="E267" s="66">
        <f t="shared" si="151"/>
        <v>204750</v>
      </c>
      <c r="F267" s="66">
        <f t="shared" si="151"/>
        <v>0</v>
      </c>
      <c r="G267" s="66">
        <f t="shared" si="151"/>
        <v>0</v>
      </c>
      <c r="H267" s="66">
        <f t="shared" ref="H267" si="154">H196+H79+H51</f>
        <v>0</v>
      </c>
      <c r="I267" s="66">
        <f t="shared" si="151"/>
        <v>0</v>
      </c>
      <c r="J267" s="66">
        <f t="shared" si="151"/>
        <v>0</v>
      </c>
      <c r="K267" s="66">
        <f t="shared" si="151"/>
        <v>204750</v>
      </c>
      <c r="L267" s="64">
        <f t="shared" si="151"/>
        <v>0</v>
      </c>
    </row>
    <row r="268" spans="1:12" x14ac:dyDescent="0.3">
      <c r="A268" s="327"/>
      <c r="B268" s="328"/>
      <c r="C268" s="177" t="s">
        <v>88</v>
      </c>
      <c r="D268" s="178">
        <f>D219</f>
        <v>230443641</v>
      </c>
      <c r="E268" s="178">
        <f>E219</f>
        <v>231774916</v>
      </c>
      <c r="F268" s="178">
        <f t="shared" ref="F268:L268" si="155">F219</f>
        <v>0</v>
      </c>
      <c r="G268" s="178">
        <f t="shared" si="155"/>
        <v>0</v>
      </c>
      <c r="H268" s="178">
        <f t="shared" ref="H268" si="156">H219</f>
        <v>-420313</v>
      </c>
      <c r="I268" s="178">
        <f t="shared" si="155"/>
        <v>-1071771</v>
      </c>
      <c r="J268" s="178">
        <f t="shared" si="155"/>
        <v>86923</v>
      </c>
      <c r="K268" s="178">
        <f t="shared" si="155"/>
        <v>230369755</v>
      </c>
      <c r="L268" s="178">
        <f t="shared" si="155"/>
        <v>157018927</v>
      </c>
    </row>
    <row r="269" spans="1:12" x14ac:dyDescent="0.3">
      <c r="B269" s="5"/>
      <c r="E269" s="4"/>
      <c r="F269" s="4"/>
      <c r="G269" s="4"/>
      <c r="H269" s="4"/>
      <c r="I269" s="4"/>
      <c r="J269" s="4"/>
      <c r="K269" s="4"/>
      <c r="L269" s="107"/>
    </row>
    <row r="270" spans="1:12" x14ac:dyDescent="0.3">
      <c r="B270" s="5"/>
      <c r="E270" s="4"/>
      <c r="F270" s="4"/>
      <c r="G270" s="4"/>
      <c r="H270" s="4"/>
      <c r="I270" s="4"/>
      <c r="J270" s="4"/>
      <c r="K270" s="4"/>
      <c r="L270" s="107"/>
    </row>
    <row r="271" spans="1:12" x14ac:dyDescent="0.3">
      <c r="B271" s="5"/>
      <c r="E271" s="4"/>
      <c r="F271" s="4"/>
      <c r="G271" s="4"/>
      <c r="H271" s="4"/>
      <c r="I271" s="4"/>
      <c r="J271" s="4"/>
      <c r="K271" s="4"/>
      <c r="L271" s="107"/>
    </row>
    <row r="272" spans="1:12" x14ac:dyDescent="0.3">
      <c r="A272" s="136" t="s">
        <v>125</v>
      </c>
      <c r="B272" s="136"/>
      <c r="C272" s="136"/>
      <c r="D272" s="136"/>
      <c r="E272" s="136"/>
      <c r="F272" s="136"/>
      <c r="L272"/>
    </row>
    <row r="273" spans="1:12" x14ac:dyDescent="0.3">
      <c r="A273" s="137"/>
      <c r="B273" s="137"/>
      <c r="C273" s="137"/>
      <c r="D273" s="138"/>
      <c r="E273" s="138"/>
      <c r="F273" s="139"/>
      <c r="L273"/>
    </row>
    <row r="274" spans="1:12" x14ac:dyDescent="0.3">
      <c r="A274" s="136" t="s">
        <v>169</v>
      </c>
      <c r="B274" s="136"/>
      <c r="C274" s="136"/>
      <c r="D274" s="136"/>
      <c r="E274" s="140"/>
      <c r="F274" s="139">
        <f>I7</f>
        <v>-1071771</v>
      </c>
      <c r="L274"/>
    </row>
    <row r="275" spans="1:12" x14ac:dyDescent="0.3">
      <c r="A275" s="136" t="s">
        <v>170</v>
      </c>
      <c r="B275" s="136"/>
      <c r="C275" s="136"/>
      <c r="D275" s="136"/>
      <c r="E275" s="140"/>
      <c r="F275" s="139">
        <f>SUM(H7)</f>
        <v>-420313</v>
      </c>
      <c r="L275"/>
    </row>
    <row r="276" spans="1:12" x14ac:dyDescent="0.3">
      <c r="A276" s="136" t="s">
        <v>128</v>
      </c>
      <c r="B276" s="136"/>
      <c r="C276" s="136"/>
      <c r="D276" s="136"/>
      <c r="E276" s="140"/>
      <c r="F276" s="139">
        <f>J5+J14+J16+J18</f>
        <v>86923</v>
      </c>
      <c r="L276"/>
    </row>
    <row r="277" spans="1:12" x14ac:dyDescent="0.3">
      <c r="A277" s="368" t="s">
        <v>129</v>
      </c>
      <c r="B277" s="368"/>
      <c r="C277" s="368"/>
      <c r="D277" s="368"/>
      <c r="E277" s="140"/>
      <c r="F277" s="139">
        <v>0</v>
      </c>
      <c r="L277"/>
    </row>
    <row r="278" spans="1:12" x14ac:dyDescent="0.3">
      <c r="A278" s="368" t="s">
        <v>130</v>
      </c>
      <c r="B278" s="368"/>
      <c r="C278" s="368"/>
      <c r="D278" s="368"/>
      <c r="E278" s="140"/>
      <c r="F278" s="139">
        <v>0</v>
      </c>
      <c r="L278"/>
    </row>
    <row r="279" spans="1:12" x14ac:dyDescent="0.3">
      <c r="A279" s="136" t="s">
        <v>131</v>
      </c>
      <c r="B279" s="136"/>
      <c r="C279" s="136"/>
      <c r="D279" s="136"/>
      <c r="E279" s="140"/>
      <c r="F279" s="139">
        <v>0</v>
      </c>
      <c r="L279"/>
    </row>
    <row r="280" spans="1:12" x14ac:dyDescent="0.3">
      <c r="A280" s="140" t="s">
        <v>132</v>
      </c>
      <c r="B280" s="140"/>
      <c r="C280" s="140"/>
      <c r="D280" s="140"/>
      <c r="E280" s="140"/>
      <c r="F280" s="139">
        <v>0</v>
      </c>
      <c r="L280"/>
    </row>
    <row r="281" spans="1:12" x14ac:dyDescent="0.3">
      <c r="A281" s="368" t="s">
        <v>133</v>
      </c>
      <c r="B281" s="368"/>
      <c r="C281" s="368"/>
      <c r="D281" s="368"/>
      <c r="E281" s="140"/>
      <c r="F281" s="139">
        <v>0</v>
      </c>
      <c r="L281"/>
    </row>
    <row r="282" spans="1:12" x14ac:dyDescent="0.3">
      <c r="A282" s="141" t="s">
        <v>134</v>
      </c>
      <c r="B282" s="141"/>
      <c r="C282" s="141"/>
      <c r="D282" s="141"/>
      <c r="E282" s="141"/>
      <c r="F282" s="142">
        <v>0</v>
      </c>
      <c r="L282"/>
    </row>
    <row r="283" spans="1:12" x14ac:dyDescent="0.3">
      <c r="A283" s="368" t="s">
        <v>135</v>
      </c>
      <c r="B283" s="368"/>
      <c r="C283" s="368"/>
      <c r="D283" s="368"/>
      <c r="E283" s="140"/>
      <c r="F283" s="139">
        <f>SUM(F274:F282)</f>
        <v>-1405161</v>
      </c>
      <c r="L283"/>
    </row>
    <row r="284" spans="1:12" x14ac:dyDescent="0.3">
      <c r="A284" s="370"/>
      <c r="B284" s="370"/>
      <c r="C284" s="370"/>
      <c r="D284" s="370"/>
      <c r="E284" s="370"/>
      <c r="F284" s="370"/>
      <c r="L284"/>
    </row>
    <row r="285" spans="1:12" x14ac:dyDescent="0.3">
      <c r="A285" s="370"/>
      <c r="B285" s="370"/>
      <c r="C285" s="370"/>
      <c r="D285" s="370"/>
      <c r="E285" s="370"/>
      <c r="F285" s="370"/>
      <c r="L285"/>
    </row>
    <row r="286" spans="1:12" x14ac:dyDescent="0.3">
      <c r="A286" s="370"/>
      <c r="B286" s="370"/>
      <c r="C286" s="370"/>
      <c r="D286" s="370"/>
      <c r="E286" s="370"/>
      <c r="F286" s="370"/>
      <c r="L286"/>
    </row>
    <row r="287" spans="1:12" x14ac:dyDescent="0.3">
      <c r="A287" s="368" t="s">
        <v>136</v>
      </c>
      <c r="B287" s="368"/>
      <c r="C287" s="368"/>
      <c r="D287" s="368"/>
      <c r="E287" s="368"/>
      <c r="F287" s="368"/>
      <c r="L287"/>
    </row>
    <row r="288" spans="1:12" x14ac:dyDescent="0.3">
      <c r="A288" s="370"/>
      <c r="B288" s="370"/>
      <c r="C288" s="370"/>
      <c r="D288" s="370"/>
      <c r="E288" s="370"/>
      <c r="F288" s="370"/>
      <c r="L288"/>
    </row>
    <row r="289" spans="1:12" x14ac:dyDescent="0.3">
      <c r="A289" s="368" t="s">
        <v>137</v>
      </c>
      <c r="B289" s="368"/>
      <c r="C289" s="368"/>
      <c r="D289" s="368"/>
      <c r="E289" s="140"/>
      <c r="F289" s="139">
        <v>0</v>
      </c>
      <c r="L289"/>
    </row>
    <row r="290" spans="1:12" x14ac:dyDescent="0.3">
      <c r="A290" s="140" t="s">
        <v>138</v>
      </c>
      <c r="B290" s="140"/>
      <c r="C290" s="140"/>
      <c r="D290" s="140"/>
      <c r="E290" s="140"/>
      <c r="F290" s="139">
        <v>0</v>
      </c>
      <c r="L290"/>
    </row>
    <row r="291" spans="1:12" x14ac:dyDescent="0.3">
      <c r="A291" s="368" t="s">
        <v>139</v>
      </c>
      <c r="B291" s="368"/>
      <c r="C291" s="368"/>
      <c r="D291" s="368"/>
      <c r="E291" s="140"/>
      <c r="F291" s="139">
        <f>I216+I177+I175+I154+J136+I133+J114+I111+J89+I86+I84+I82+I80+J52+I109+H175+H131+H109+H80+H82</f>
        <v>-1189620</v>
      </c>
      <c r="L291"/>
    </row>
    <row r="292" spans="1:12" x14ac:dyDescent="0.3">
      <c r="A292" s="368" t="s">
        <v>140</v>
      </c>
      <c r="B292" s="368"/>
      <c r="C292" s="368"/>
      <c r="D292" s="368"/>
      <c r="E292" s="140"/>
      <c r="F292" s="139">
        <f>I217+I178+I176+I155+I134+I132+J144+J121+I112+I110+J97+I87+I85+I83+I81+J62+H176+H132+H110+H81+H83</f>
        <v>-215541</v>
      </c>
      <c r="L292"/>
    </row>
    <row r="293" spans="1:12" x14ac:dyDescent="0.3">
      <c r="A293" s="368" t="s">
        <v>141</v>
      </c>
      <c r="B293" s="368"/>
      <c r="C293" s="368"/>
      <c r="D293" s="368"/>
      <c r="E293" s="140"/>
      <c r="F293" s="139">
        <v>0</v>
      </c>
      <c r="L293"/>
    </row>
    <row r="294" spans="1:12" x14ac:dyDescent="0.3">
      <c r="A294" s="140" t="s">
        <v>142</v>
      </c>
      <c r="B294" s="140"/>
      <c r="C294" s="140"/>
      <c r="D294" s="140"/>
      <c r="E294" s="140"/>
      <c r="F294" s="139">
        <v>0</v>
      </c>
      <c r="L294"/>
    </row>
    <row r="295" spans="1:12" x14ac:dyDescent="0.3">
      <c r="A295" s="140" t="s">
        <v>143</v>
      </c>
      <c r="B295" s="140"/>
      <c r="C295" s="140"/>
      <c r="D295" s="140"/>
      <c r="E295" s="140"/>
      <c r="F295" s="139">
        <v>0</v>
      </c>
      <c r="L295"/>
    </row>
    <row r="296" spans="1:12" x14ac:dyDescent="0.3">
      <c r="A296" s="143" t="s">
        <v>144</v>
      </c>
      <c r="B296" s="143"/>
      <c r="C296" s="143"/>
      <c r="D296" s="144"/>
      <c r="E296" s="144"/>
      <c r="F296" s="145">
        <v>0</v>
      </c>
      <c r="L296"/>
    </row>
    <row r="297" spans="1:12" x14ac:dyDescent="0.3">
      <c r="A297" s="369" t="s">
        <v>135</v>
      </c>
      <c r="B297" s="369"/>
      <c r="C297" s="369"/>
      <c r="D297" s="369"/>
      <c r="E297" s="140"/>
      <c r="F297" s="139">
        <f>SUM(F289:F296)</f>
        <v>-1405161</v>
      </c>
      <c r="L297"/>
    </row>
    <row r="298" spans="1:12" ht="33.75" customHeight="1" x14ac:dyDescent="0.3">
      <c r="A298" s="140"/>
      <c r="B298" s="136"/>
      <c r="C298" s="146"/>
      <c r="D298" s="138"/>
      <c r="E298" s="138"/>
      <c r="F298" s="139"/>
      <c r="L298"/>
    </row>
    <row r="299" spans="1:12" x14ac:dyDescent="0.3">
      <c r="A299" s="368" t="s">
        <v>145</v>
      </c>
      <c r="B299" s="368"/>
      <c r="C299" s="368"/>
      <c r="D299" s="368"/>
      <c r="E299" s="368"/>
      <c r="F299" s="368"/>
      <c r="L299"/>
    </row>
    <row r="300" spans="1:12" x14ac:dyDescent="0.3">
      <c r="A300" s="137"/>
      <c r="B300" s="137"/>
      <c r="C300" s="137"/>
      <c r="D300" s="138"/>
      <c r="E300" s="138"/>
      <c r="F300" s="139"/>
      <c r="L300"/>
    </row>
    <row r="301" spans="1:12" x14ac:dyDescent="0.3">
      <c r="A301" s="136" t="s">
        <v>126</v>
      </c>
      <c r="B301" s="136"/>
      <c r="C301" s="136"/>
      <c r="D301" s="136"/>
      <c r="E301" s="140"/>
      <c r="F301" s="139">
        <v>0</v>
      </c>
      <c r="L301"/>
    </row>
    <row r="302" spans="1:12" x14ac:dyDescent="0.3">
      <c r="A302" s="368" t="s">
        <v>127</v>
      </c>
      <c r="B302" s="368"/>
      <c r="C302" s="368"/>
      <c r="D302" s="368"/>
      <c r="E302" s="140"/>
      <c r="F302" s="139">
        <v>0</v>
      </c>
      <c r="L302"/>
    </row>
    <row r="303" spans="1:12" x14ac:dyDescent="0.3">
      <c r="A303" s="136" t="s">
        <v>128</v>
      </c>
      <c r="B303" s="140"/>
      <c r="C303" s="140"/>
      <c r="D303" s="140"/>
      <c r="E303" s="140"/>
      <c r="F303" s="139">
        <v>0</v>
      </c>
      <c r="L303"/>
    </row>
    <row r="304" spans="1:12" x14ac:dyDescent="0.3">
      <c r="A304" s="368" t="s">
        <v>129</v>
      </c>
      <c r="B304" s="368"/>
      <c r="C304" s="368"/>
      <c r="D304" s="368"/>
      <c r="E304" s="140"/>
      <c r="F304" s="139">
        <v>0</v>
      </c>
      <c r="L304"/>
    </row>
    <row r="305" spans="1:12" x14ac:dyDescent="0.3">
      <c r="A305" s="368" t="s">
        <v>146</v>
      </c>
      <c r="B305" s="368"/>
      <c r="C305" s="368"/>
      <c r="D305" s="368"/>
      <c r="E305" s="140"/>
      <c r="F305" s="139">
        <v>0</v>
      </c>
      <c r="L305"/>
    </row>
    <row r="306" spans="1:12" x14ac:dyDescent="0.3">
      <c r="A306" s="136" t="s">
        <v>147</v>
      </c>
      <c r="B306" s="136"/>
      <c r="C306" s="136"/>
      <c r="D306" s="136"/>
      <c r="E306" s="140"/>
      <c r="F306" s="139">
        <v>0</v>
      </c>
      <c r="L306"/>
    </row>
    <row r="307" spans="1:12" x14ac:dyDescent="0.3">
      <c r="A307" s="140" t="s">
        <v>132</v>
      </c>
      <c r="B307" s="140"/>
      <c r="C307" s="140"/>
      <c r="D307" s="140"/>
      <c r="E307" s="140"/>
      <c r="F307" s="139">
        <v>0</v>
      </c>
      <c r="L307"/>
    </row>
    <row r="308" spans="1:12" x14ac:dyDescent="0.3">
      <c r="A308" s="371" t="s">
        <v>133</v>
      </c>
      <c r="B308" s="371"/>
      <c r="C308" s="371"/>
      <c r="D308" s="371"/>
      <c r="E308" s="141"/>
      <c r="F308" s="142">
        <f>F13+F11</f>
        <v>0</v>
      </c>
      <c r="L308"/>
    </row>
    <row r="309" spans="1:12" x14ac:dyDescent="0.3">
      <c r="A309" s="369" t="s">
        <v>135</v>
      </c>
      <c r="B309" s="369"/>
      <c r="C309" s="369"/>
      <c r="D309" s="369"/>
      <c r="E309" s="140"/>
      <c r="F309" s="139">
        <f>SUM(F301:F308)</f>
        <v>0</v>
      </c>
      <c r="L309"/>
    </row>
    <row r="310" spans="1:12" x14ac:dyDescent="0.3">
      <c r="A310" s="370"/>
      <c r="B310" s="370"/>
      <c r="C310" s="370"/>
      <c r="D310" s="370"/>
      <c r="E310" s="370"/>
      <c r="F310" s="370"/>
      <c r="L310"/>
    </row>
    <row r="311" spans="1:12" x14ac:dyDescent="0.3">
      <c r="A311" s="370"/>
      <c r="B311" s="370"/>
      <c r="C311" s="370"/>
      <c r="D311" s="370"/>
      <c r="E311" s="370"/>
      <c r="F311" s="370"/>
      <c r="L311"/>
    </row>
    <row r="312" spans="1:12" x14ac:dyDescent="0.3">
      <c r="A312" s="370"/>
      <c r="B312" s="370"/>
      <c r="C312" s="370"/>
      <c r="D312" s="370"/>
      <c r="E312" s="370"/>
      <c r="F312" s="370"/>
      <c r="L312"/>
    </row>
    <row r="313" spans="1:12" x14ac:dyDescent="0.3">
      <c r="A313" s="368" t="s">
        <v>148</v>
      </c>
      <c r="B313" s="368"/>
      <c r="C313" s="368"/>
      <c r="D313" s="368"/>
      <c r="E313" s="368"/>
      <c r="F313" s="368"/>
      <c r="L313"/>
    </row>
    <row r="314" spans="1:12" x14ac:dyDescent="0.3">
      <c r="A314" s="370"/>
      <c r="B314" s="370"/>
      <c r="C314" s="370"/>
      <c r="D314" s="370"/>
      <c r="E314" s="370"/>
      <c r="F314" s="370"/>
      <c r="L314"/>
    </row>
    <row r="315" spans="1:12" x14ac:dyDescent="0.3">
      <c r="A315" s="368" t="s">
        <v>137</v>
      </c>
      <c r="B315" s="368"/>
      <c r="C315" s="368"/>
      <c r="D315" s="368"/>
      <c r="E315" s="140"/>
      <c r="F315" s="139">
        <v>0</v>
      </c>
      <c r="L315"/>
    </row>
    <row r="316" spans="1:12" x14ac:dyDescent="0.3">
      <c r="A316" s="140" t="s">
        <v>138</v>
      </c>
      <c r="B316" s="140"/>
      <c r="C316" s="140"/>
      <c r="D316" s="140"/>
      <c r="E316" s="140"/>
      <c r="F316" s="139">
        <v>0</v>
      </c>
      <c r="L316"/>
    </row>
    <row r="317" spans="1:12" x14ac:dyDescent="0.3">
      <c r="A317" s="368" t="s">
        <v>139</v>
      </c>
      <c r="B317" s="368"/>
      <c r="C317" s="368"/>
      <c r="D317" s="368"/>
      <c r="E317" s="140"/>
      <c r="F317" s="139">
        <f>F161+F157+F118+F114+F59+F52+F30+F25+F119+F89+F95+F136+F142+F162</f>
        <v>0</v>
      </c>
      <c r="L317"/>
    </row>
    <row r="318" spans="1:12" x14ac:dyDescent="0.3">
      <c r="A318" s="368" t="s">
        <v>140</v>
      </c>
      <c r="B318" s="368"/>
      <c r="C318" s="368"/>
      <c r="D318" s="368"/>
      <c r="E318" s="140"/>
      <c r="F318" s="139">
        <v>0</v>
      </c>
      <c r="L318"/>
    </row>
    <row r="319" spans="1:12" x14ac:dyDescent="0.3">
      <c r="A319" s="368" t="s">
        <v>141</v>
      </c>
      <c r="B319" s="368"/>
      <c r="C319" s="368"/>
      <c r="D319" s="368"/>
      <c r="E319" s="140"/>
      <c r="F319" s="139">
        <f>F214+F213+F212+F210+F209+F207+F172+F167+F100+F99+F75+F74+F71+F70+F64+F63+F72+F147+F146+F103+F101+F98+F44+F43</f>
        <v>0</v>
      </c>
      <c r="L319"/>
    </row>
    <row r="320" spans="1:12" x14ac:dyDescent="0.3">
      <c r="A320" s="140" t="s">
        <v>149</v>
      </c>
      <c r="B320" s="140"/>
      <c r="C320" s="140"/>
      <c r="D320" s="140"/>
      <c r="E320" s="140"/>
      <c r="F320" s="139">
        <v>0</v>
      </c>
      <c r="L320"/>
    </row>
    <row r="321" spans="1:12" x14ac:dyDescent="0.3">
      <c r="A321" s="140" t="s">
        <v>150</v>
      </c>
      <c r="B321" s="140"/>
      <c r="C321" s="140"/>
      <c r="D321" s="140"/>
      <c r="E321" s="140"/>
      <c r="F321" s="139">
        <v>0</v>
      </c>
      <c r="L321"/>
    </row>
    <row r="322" spans="1:12" x14ac:dyDescent="0.3">
      <c r="A322" s="143" t="s">
        <v>144</v>
      </c>
      <c r="B322" s="143"/>
      <c r="C322" s="143"/>
      <c r="D322" s="144"/>
      <c r="E322" s="144"/>
      <c r="F322" s="145">
        <v>0</v>
      </c>
      <c r="L322"/>
    </row>
    <row r="323" spans="1:12" x14ac:dyDescent="0.3">
      <c r="A323" s="369" t="s">
        <v>135</v>
      </c>
      <c r="B323" s="369"/>
      <c r="C323" s="369"/>
      <c r="D323" s="369"/>
      <c r="E323" s="140"/>
      <c r="F323" s="139">
        <f>SUM(F315:F322)</f>
        <v>0</v>
      </c>
      <c r="L323"/>
    </row>
    <row r="324" spans="1:12" x14ac:dyDescent="0.3">
      <c r="A324" s="147"/>
      <c r="B324" s="148"/>
      <c r="C324" s="149"/>
      <c r="D324" s="150"/>
      <c r="E324" s="150"/>
      <c r="F324" s="151"/>
      <c r="L324"/>
    </row>
    <row r="325" spans="1:12" x14ac:dyDescent="0.3">
      <c r="A325" s="147"/>
      <c r="B325" s="148"/>
      <c r="C325" s="149"/>
      <c r="D325" s="150"/>
      <c r="E325" s="150"/>
      <c r="F325" s="151"/>
      <c r="L325"/>
    </row>
    <row r="326" spans="1:12" x14ac:dyDescent="0.3">
      <c r="A326" s="365" t="s">
        <v>151</v>
      </c>
      <c r="B326" s="365"/>
      <c r="C326" s="365"/>
      <c r="D326" s="365"/>
      <c r="E326" s="365"/>
      <c r="F326" s="365"/>
      <c r="L326"/>
    </row>
    <row r="327" spans="1:12" x14ac:dyDescent="0.3">
      <c r="A327" s="367"/>
      <c r="B327" s="367"/>
      <c r="C327" s="367"/>
      <c r="D327" s="367"/>
      <c r="E327" s="367"/>
      <c r="F327" s="367"/>
      <c r="L327"/>
    </row>
    <row r="328" spans="1:12" x14ac:dyDescent="0.3">
      <c r="A328" s="152"/>
      <c r="B328" s="152"/>
      <c r="C328" s="152"/>
      <c r="D328" s="153"/>
      <c r="E328" s="153"/>
      <c r="F328" s="154"/>
      <c r="L328"/>
    </row>
    <row r="329" spans="1:12" x14ac:dyDescent="0.3">
      <c r="A329" s="155" t="s">
        <v>171</v>
      </c>
      <c r="B329" s="156"/>
      <c r="C329" s="156"/>
      <c r="D329" s="156"/>
      <c r="E329" s="156"/>
      <c r="F329" s="154">
        <f>SUM(F274,F301)</f>
        <v>-1071771</v>
      </c>
      <c r="L329"/>
    </row>
    <row r="330" spans="1:12" x14ac:dyDescent="0.3">
      <c r="A330" s="155" t="s">
        <v>170</v>
      </c>
      <c r="B330" s="156"/>
      <c r="C330" s="156"/>
      <c r="D330" s="156"/>
      <c r="E330" s="155"/>
      <c r="F330" s="154">
        <f>SUM(F275,F302)</f>
        <v>-420313</v>
      </c>
      <c r="L330"/>
    </row>
    <row r="331" spans="1:12" x14ac:dyDescent="0.3">
      <c r="A331" s="365" t="s">
        <v>152</v>
      </c>
      <c r="B331" s="365"/>
      <c r="C331" s="365"/>
      <c r="D331" s="365"/>
      <c r="E331" s="155"/>
      <c r="F331" s="154">
        <f>SUM(F276,F303)</f>
        <v>86923</v>
      </c>
      <c r="L331"/>
    </row>
    <row r="332" spans="1:12" x14ac:dyDescent="0.3">
      <c r="A332" s="365" t="s">
        <v>153</v>
      </c>
      <c r="B332" s="365"/>
      <c r="C332" s="365"/>
      <c r="D332" s="365"/>
      <c r="E332" s="155"/>
      <c r="F332" s="154">
        <f>F277+F304</f>
        <v>0</v>
      </c>
      <c r="L332"/>
    </row>
    <row r="333" spans="1:12" x14ac:dyDescent="0.3">
      <c r="A333" s="365" t="s">
        <v>154</v>
      </c>
      <c r="B333" s="365"/>
      <c r="C333" s="365"/>
      <c r="D333" s="365"/>
      <c r="E333" s="155"/>
      <c r="F333" s="154">
        <f>F278+F305</f>
        <v>0</v>
      </c>
      <c r="L333"/>
    </row>
    <row r="334" spans="1:12" x14ac:dyDescent="0.3">
      <c r="A334" s="156" t="s">
        <v>147</v>
      </c>
      <c r="B334" s="156"/>
      <c r="C334" s="156"/>
      <c r="D334" s="156"/>
      <c r="E334" s="155"/>
      <c r="F334" s="154">
        <f>SUM(F306,F279)</f>
        <v>0</v>
      </c>
      <c r="L334"/>
    </row>
    <row r="335" spans="1:12" x14ac:dyDescent="0.3">
      <c r="A335" s="155" t="s">
        <v>132</v>
      </c>
      <c r="B335" s="155"/>
      <c r="C335" s="155"/>
      <c r="D335" s="155"/>
      <c r="E335" s="155"/>
      <c r="F335" s="154">
        <f>F307+F280</f>
        <v>0</v>
      </c>
      <c r="L335"/>
    </row>
    <row r="336" spans="1:12" x14ac:dyDescent="0.3">
      <c r="A336" s="365" t="s">
        <v>133</v>
      </c>
      <c r="B336" s="365"/>
      <c r="C336" s="365"/>
      <c r="D336" s="365"/>
      <c r="E336" s="155"/>
      <c r="F336" s="154">
        <f>F308+F281</f>
        <v>0</v>
      </c>
      <c r="L336"/>
    </row>
    <row r="337" spans="1:12" x14ac:dyDescent="0.3">
      <c r="A337" s="157" t="s">
        <v>134</v>
      </c>
      <c r="B337" s="157"/>
      <c r="C337" s="157"/>
      <c r="D337" s="157"/>
      <c r="E337" s="157"/>
      <c r="F337" s="158">
        <f>F282</f>
        <v>0</v>
      </c>
      <c r="L337"/>
    </row>
    <row r="338" spans="1:12" x14ac:dyDescent="0.3">
      <c r="A338" s="365" t="s">
        <v>135</v>
      </c>
      <c r="B338" s="365"/>
      <c r="C338" s="365"/>
      <c r="D338" s="365"/>
      <c r="E338" s="155"/>
      <c r="F338" s="154">
        <f>SUM(F329:F337)</f>
        <v>-1405161</v>
      </c>
      <c r="L338"/>
    </row>
    <row r="339" spans="1:12" x14ac:dyDescent="0.3">
      <c r="A339" s="155"/>
      <c r="B339" s="155"/>
      <c r="C339" s="155"/>
      <c r="D339" s="155"/>
      <c r="E339" s="155"/>
      <c r="F339" s="154"/>
      <c r="L339"/>
    </row>
    <row r="340" spans="1:12" x14ac:dyDescent="0.3">
      <c r="A340" s="155"/>
      <c r="B340" s="155"/>
      <c r="C340" s="155"/>
      <c r="D340" s="155"/>
      <c r="E340" s="155"/>
      <c r="F340" s="154"/>
      <c r="L340"/>
    </row>
    <row r="341" spans="1:12" x14ac:dyDescent="0.3">
      <c r="A341" s="367"/>
      <c r="B341" s="367"/>
      <c r="C341" s="367"/>
      <c r="D341" s="367"/>
      <c r="E341" s="367"/>
      <c r="F341" s="367"/>
      <c r="L341"/>
    </row>
    <row r="342" spans="1:12" x14ac:dyDescent="0.3">
      <c r="A342" s="365" t="s">
        <v>155</v>
      </c>
      <c r="B342" s="365"/>
      <c r="C342" s="365"/>
      <c r="D342" s="365"/>
      <c r="E342" s="365"/>
      <c r="F342" s="365"/>
      <c r="L342"/>
    </row>
    <row r="343" spans="1:12" x14ac:dyDescent="0.3">
      <c r="A343" s="367"/>
      <c r="B343" s="367"/>
      <c r="C343" s="367"/>
      <c r="D343" s="367"/>
      <c r="E343" s="367"/>
      <c r="F343" s="367"/>
      <c r="L343"/>
    </row>
    <row r="344" spans="1:12" x14ac:dyDescent="0.3">
      <c r="A344" s="365" t="s">
        <v>137</v>
      </c>
      <c r="B344" s="365"/>
      <c r="C344" s="365"/>
      <c r="D344" s="365"/>
      <c r="E344" s="155"/>
      <c r="F344" s="154">
        <v>0</v>
      </c>
      <c r="L344"/>
    </row>
    <row r="345" spans="1:12" x14ac:dyDescent="0.3">
      <c r="A345" s="155" t="s">
        <v>138</v>
      </c>
      <c r="B345" s="155"/>
      <c r="C345" s="155"/>
      <c r="D345" s="155"/>
      <c r="E345" s="155"/>
      <c r="F345" s="154">
        <f>F316+F290</f>
        <v>0</v>
      </c>
      <c r="L345"/>
    </row>
    <row r="346" spans="1:12" x14ac:dyDescent="0.3">
      <c r="A346" s="365" t="s">
        <v>139</v>
      </c>
      <c r="B346" s="365"/>
      <c r="C346" s="365"/>
      <c r="D346" s="365"/>
      <c r="E346" s="155"/>
      <c r="F346" s="154">
        <f>F317+F291</f>
        <v>-1189620</v>
      </c>
      <c r="L346"/>
    </row>
    <row r="347" spans="1:12" x14ac:dyDescent="0.3">
      <c r="A347" s="365" t="s">
        <v>140</v>
      </c>
      <c r="B347" s="365"/>
      <c r="C347" s="365"/>
      <c r="D347" s="365"/>
      <c r="E347" s="155"/>
      <c r="F347" s="154">
        <f>F318+F292</f>
        <v>-215541</v>
      </c>
      <c r="L347"/>
    </row>
    <row r="348" spans="1:12" x14ac:dyDescent="0.3">
      <c r="A348" s="365" t="s">
        <v>141</v>
      </c>
      <c r="B348" s="365"/>
      <c r="C348" s="365"/>
      <c r="D348" s="365"/>
      <c r="E348" s="155"/>
      <c r="F348" s="154">
        <f>F319+F293</f>
        <v>0</v>
      </c>
      <c r="L348"/>
    </row>
    <row r="349" spans="1:12" x14ac:dyDescent="0.3">
      <c r="A349" s="155" t="s">
        <v>149</v>
      </c>
      <c r="B349" s="155"/>
      <c r="C349" s="155"/>
      <c r="D349" s="155"/>
      <c r="E349" s="155"/>
      <c r="F349" s="154">
        <f>SUM(F320,F294)</f>
        <v>0</v>
      </c>
      <c r="L349"/>
    </row>
    <row r="350" spans="1:12" x14ac:dyDescent="0.3">
      <c r="A350" s="155" t="s">
        <v>150</v>
      </c>
      <c r="B350" s="155"/>
      <c r="C350" s="155"/>
      <c r="D350" s="155"/>
      <c r="E350" s="155"/>
      <c r="F350" s="154">
        <f>SUM(F321)</f>
        <v>0</v>
      </c>
      <c r="L350"/>
    </row>
    <row r="351" spans="1:12" x14ac:dyDescent="0.3">
      <c r="A351" s="159" t="s">
        <v>144</v>
      </c>
      <c r="B351" s="159"/>
      <c r="C351" s="159"/>
      <c r="D351" s="160"/>
      <c r="E351" s="160"/>
      <c r="F351" s="161">
        <f>F322+F296</f>
        <v>0</v>
      </c>
      <c r="L351"/>
    </row>
    <row r="352" spans="1:12" x14ac:dyDescent="0.3">
      <c r="A352" s="366" t="s">
        <v>135</v>
      </c>
      <c r="B352" s="366"/>
      <c r="C352" s="366"/>
      <c r="D352" s="366"/>
      <c r="E352" s="155"/>
      <c r="F352" s="154">
        <f>SUM(F344:F351)</f>
        <v>-1405161</v>
      </c>
      <c r="L352"/>
    </row>
  </sheetData>
  <mergeCells count="115">
    <mergeCell ref="A1:M1"/>
    <mergeCell ref="A3:A4"/>
    <mergeCell ref="B3:B4"/>
    <mergeCell ref="C3:C4"/>
    <mergeCell ref="D3:D4"/>
    <mergeCell ref="E3:E4"/>
    <mergeCell ref="F3:J3"/>
    <mergeCell ref="K3:K4"/>
    <mergeCell ref="L3:L4"/>
    <mergeCell ref="M3:M4"/>
    <mergeCell ref="A16:A17"/>
    <mergeCell ref="B16:B17"/>
    <mergeCell ref="A18:A19"/>
    <mergeCell ref="B18:B19"/>
    <mergeCell ref="A20:A21"/>
    <mergeCell ref="B20:B21"/>
    <mergeCell ref="A5:A13"/>
    <mergeCell ref="B12:B13"/>
    <mergeCell ref="A14:A15"/>
    <mergeCell ref="B14:B15"/>
    <mergeCell ref="B5:B8"/>
    <mergeCell ref="B9:B11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7:B268"/>
    <mergeCell ref="A179:C179"/>
    <mergeCell ref="A180:A197"/>
    <mergeCell ref="B180:B197"/>
    <mergeCell ref="A198:C198"/>
    <mergeCell ref="A199:A215"/>
    <mergeCell ref="B199:B215"/>
    <mergeCell ref="A216:A217"/>
    <mergeCell ref="B216:B217"/>
    <mergeCell ref="A218:C218"/>
    <mergeCell ref="A219:C219"/>
    <mergeCell ref="A226:L226"/>
    <mergeCell ref="A287:F287"/>
    <mergeCell ref="A288:F288"/>
    <mergeCell ref="A289:D289"/>
    <mergeCell ref="A291:D291"/>
    <mergeCell ref="A292:D292"/>
    <mergeCell ref="A277:D277"/>
    <mergeCell ref="A278:D278"/>
    <mergeCell ref="A281:D281"/>
    <mergeCell ref="A283:D283"/>
    <mergeCell ref="A284:F286"/>
    <mergeCell ref="A305:D305"/>
    <mergeCell ref="A308:D308"/>
    <mergeCell ref="A309:D309"/>
    <mergeCell ref="A310:F312"/>
    <mergeCell ref="A313:F313"/>
    <mergeCell ref="A293:D293"/>
    <mergeCell ref="A297:D297"/>
    <mergeCell ref="A299:F299"/>
    <mergeCell ref="A302:D302"/>
    <mergeCell ref="A304:D304"/>
    <mergeCell ref="A323:D323"/>
    <mergeCell ref="A326:F326"/>
    <mergeCell ref="A327:F327"/>
    <mergeCell ref="A331:D331"/>
    <mergeCell ref="A332:D332"/>
    <mergeCell ref="A314:F314"/>
    <mergeCell ref="A315:D315"/>
    <mergeCell ref="A317:D317"/>
    <mergeCell ref="A318:D318"/>
    <mergeCell ref="A319:D319"/>
    <mergeCell ref="A352:D352"/>
    <mergeCell ref="A343:F343"/>
    <mergeCell ref="A344:D344"/>
    <mergeCell ref="A346:D346"/>
    <mergeCell ref="A347:D347"/>
    <mergeCell ref="A348:D348"/>
    <mergeCell ref="A333:D333"/>
    <mergeCell ref="A336:D336"/>
    <mergeCell ref="A338:D338"/>
    <mergeCell ref="A341:F341"/>
    <mergeCell ref="A342:F342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rowBreaks count="3" manualBreakCount="3">
    <brk id="88" max="16383" man="1"/>
    <brk id="179" max="16383" man="1"/>
    <brk id="270" max="16383" man="1"/>
  </rowBreaks>
  <colBreaks count="1" manualBreakCount="1">
    <brk id="1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71"/>
  <sheetViews>
    <sheetView workbookViewId="0">
      <pane xSplit="3" ySplit="4" topLeftCell="D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42.6640625" customWidth="1"/>
    <col min="3" max="3" width="7.6640625" customWidth="1"/>
    <col min="4" max="5" width="13.6640625" customWidth="1"/>
    <col min="6" max="6" width="10.33203125" customWidth="1"/>
    <col min="7" max="7" width="11.6640625" customWidth="1"/>
    <col min="8" max="9" width="10.33203125" bestFit="1" customWidth="1"/>
    <col min="10" max="10" width="13.88671875" bestFit="1" customWidth="1"/>
    <col min="11" max="11" width="16.44140625" style="118" customWidth="1"/>
    <col min="12" max="12" width="13.88671875" customWidth="1"/>
  </cols>
  <sheetData>
    <row r="1" spans="1:12" ht="21" x14ac:dyDescent="0.3">
      <c r="A1" s="402" t="s">
        <v>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</row>
    <row r="2" spans="1:12" x14ac:dyDescent="0.3">
      <c r="B2" s="5"/>
      <c r="E2" s="4"/>
      <c r="F2" s="4"/>
      <c r="G2" s="4"/>
      <c r="H2" s="4"/>
      <c r="I2" s="4"/>
      <c r="J2" s="4"/>
      <c r="K2" s="107"/>
    </row>
    <row r="3" spans="1:12" ht="15" customHeight="1" x14ac:dyDescent="0.3">
      <c r="A3" s="376" t="s">
        <v>104</v>
      </c>
      <c r="B3" s="378" t="s">
        <v>105</v>
      </c>
      <c r="C3" s="376" t="s">
        <v>3</v>
      </c>
      <c r="D3" s="376" t="s">
        <v>4</v>
      </c>
      <c r="E3" s="380" t="s">
        <v>159</v>
      </c>
      <c r="F3" s="382" t="s">
        <v>172</v>
      </c>
      <c r="G3" s="383"/>
      <c r="H3" s="383"/>
      <c r="I3" s="384"/>
      <c r="J3" s="380" t="s">
        <v>166</v>
      </c>
      <c r="K3" s="385" t="s">
        <v>173</v>
      </c>
      <c r="L3" s="386" t="s">
        <v>174</v>
      </c>
    </row>
    <row r="4" spans="1:12" ht="48" customHeight="1" x14ac:dyDescent="0.3">
      <c r="A4" s="377"/>
      <c r="B4" s="379"/>
      <c r="C4" s="377"/>
      <c r="D4" s="377"/>
      <c r="E4" s="381"/>
      <c r="F4" s="165" t="s">
        <v>70</v>
      </c>
      <c r="G4" s="166" t="s">
        <v>167</v>
      </c>
      <c r="H4" s="166" t="s">
        <v>168</v>
      </c>
      <c r="I4" s="166" t="s">
        <v>163</v>
      </c>
      <c r="J4" s="381"/>
      <c r="K4" s="385"/>
      <c r="L4" s="386"/>
    </row>
    <row r="5" spans="1:12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v>52775258</v>
      </c>
      <c r="F5" s="3"/>
      <c r="G5" s="3"/>
      <c r="H5" s="3"/>
      <c r="I5" s="3"/>
      <c r="J5" s="20">
        <f>E5+F5+G5+H5+I5</f>
        <v>52775258</v>
      </c>
      <c r="K5" s="108">
        <v>48383602</v>
      </c>
      <c r="L5" s="3">
        <f>J5-K5</f>
        <v>4391656</v>
      </c>
    </row>
    <row r="6" spans="1:12" x14ac:dyDescent="0.3">
      <c r="A6" s="285"/>
      <c r="B6" s="261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4" si="0">E6+F6+G6+H6+I6</f>
        <v>7273070</v>
      </c>
      <c r="K6" s="108">
        <v>7273070</v>
      </c>
      <c r="L6" s="3">
        <f t="shared" ref="L6:L24" si="1">J6-K6</f>
        <v>0</v>
      </c>
    </row>
    <row r="7" spans="1:12" x14ac:dyDescent="0.3">
      <c r="A7" s="285"/>
      <c r="B7" s="261"/>
      <c r="C7" s="2" t="s">
        <v>22</v>
      </c>
      <c r="D7" s="3">
        <v>200000</v>
      </c>
      <c r="E7" s="3">
        <v>200000</v>
      </c>
      <c r="F7" s="3"/>
      <c r="G7" s="3"/>
      <c r="H7" s="3"/>
      <c r="I7" s="3"/>
      <c r="J7" s="20">
        <f t="shared" si="0"/>
        <v>200000</v>
      </c>
      <c r="K7" s="108">
        <v>200000</v>
      </c>
      <c r="L7" s="3">
        <f t="shared" si="1"/>
        <v>0</v>
      </c>
    </row>
    <row r="8" spans="1:12" x14ac:dyDescent="0.3">
      <c r="A8" s="285"/>
      <c r="B8" s="261"/>
      <c r="C8" s="2" t="s">
        <v>18</v>
      </c>
      <c r="D8" s="3">
        <v>96985672</v>
      </c>
      <c r="E8" s="3">
        <v>100329672</v>
      </c>
      <c r="F8" s="3"/>
      <c r="G8" s="3">
        <v>-420313</v>
      </c>
      <c r="H8" s="3">
        <v>-1071771</v>
      </c>
      <c r="I8" s="3"/>
      <c r="J8" s="20">
        <f t="shared" si="0"/>
        <v>98837588</v>
      </c>
      <c r="K8" s="108">
        <v>82183746</v>
      </c>
      <c r="L8" s="3">
        <f t="shared" si="1"/>
        <v>16653842</v>
      </c>
    </row>
    <row r="9" spans="1:12" x14ac:dyDescent="0.3">
      <c r="A9" s="285"/>
      <c r="B9" s="264">
        <v>104042</v>
      </c>
      <c r="C9" s="2" t="s">
        <v>22</v>
      </c>
      <c r="D9" s="3">
        <v>0</v>
      </c>
      <c r="E9" s="3">
        <v>0</v>
      </c>
      <c r="F9" s="3"/>
      <c r="G9" s="3"/>
      <c r="H9" s="3"/>
      <c r="I9" s="3"/>
      <c r="J9" s="20">
        <f t="shared" si="0"/>
        <v>0</v>
      </c>
      <c r="K9" s="108">
        <v>0</v>
      </c>
      <c r="L9" s="3">
        <f t="shared" si="1"/>
        <v>0</v>
      </c>
    </row>
    <row r="10" spans="1:12" x14ac:dyDescent="0.3">
      <c r="A10" s="285"/>
      <c r="B10" s="268"/>
      <c r="C10" s="2" t="s">
        <v>19</v>
      </c>
      <c r="D10" s="3">
        <v>13200</v>
      </c>
      <c r="E10" s="3">
        <v>31926</v>
      </c>
      <c r="F10" s="3"/>
      <c r="G10" s="3"/>
      <c r="H10" s="3"/>
      <c r="I10" s="3"/>
      <c r="J10" s="20">
        <f t="shared" si="0"/>
        <v>31926</v>
      </c>
      <c r="K10" s="108">
        <v>25129</v>
      </c>
      <c r="L10" s="3">
        <f t="shared" si="1"/>
        <v>6797</v>
      </c>
    </row>
    <row r="11" spans="1:12" x14ac:dyDescent="0.3">
      <c r="A11" s="285"/>
      <c r="B11" s="268"/>
      <c r="C11" s="2" t="s">
        <v>20</v>
      </c>
      <c r="D11" s="3">
        <v>500</v>
      </c>
      <c r="E11" s="3">
        <v>1152</v>
      </c>
      <c r="F11" s="3"/>
      <c r="G11" s="3"/>
      <c r="H11" s="3"/>
      <c r="I11" s="3"/>
      <c r="J11" s="20">
        <f t="shared" si="0"/>
        <v>1152</v>
      </c>
      <c r="K11" s="108">
        <v>170</v>
      </c>
      <c r="L11" s="3">
        <f t="shared" si="1"/>
        <v>982</v>
      </c>
    </row>
    <row r="12" spans="1:12" x14ac:dyDescent="0.3">
      <c r="A12" s="285"/>
      <c r="B12" s="265"/>
      <c r="C12" s="2" t="s">
        <v>84</v>
      </c>
      <c r="D12" s="3">
        <v>0</v>
      </c>
      <c r="E12" s="3">
        <v>12948</v>
      </c>
      <c r="F12" s="3">
        <v>-1261</v>
      </c>
      <c r="G12" s="3"/>
      <c r="H12" s="3"/>
      <c r="I12" s="3"/>
      <c r="J12" s="20">
        <f t="shared" si="0"/>
        <v>11687</v>
      </c>
      <c r="K12" s="108">
        <v>5746</v>
      </c>
      <c r="L12" s="3">
        <f t="shared" si="1"/>
        <v>5941</v>
      </c>
    </row>
    <row r="13" spans="1:12" x14ac:dyDescent="0.3">
      <c r="A13" s="285"/>
      <c r="B13" s="264">
        <v>104043</v>
      </c>
      <c r="C13" s="2" t="s">
        <v>20</v>
      </c>
      <c r="D13" s="3">
        <v>500</v>
      </c>
      <c r="E13" s="3">
        <v>173</v>
      </c>
      <c r="F13" s="3"/>
      <c r="G13" s="3"/>
      <c r="H13" s="3"/>
      <c r="I13" s="3"/>
      <c r="J13" s="20">
        <f t="shared" si="0"/>
        <v>173</v>
      </c>
      <c r="K13" s="108">
        <v>171</v>
      </c>
      <c r="L13" s="3">
        <f t="shared" si="1"/>
        <v>2</v>
      </c>
    </row>
    <row r="14" spans="1:12" x14ac:dyDescent="0.3">
      <c r="A14" s="263"/>
      <c r="B14" s="265"/>
      <c r="C14" s="2" t="s">
        <v>84</v>
      </c>
      <c r="D14" s="3">
        <v>0</v>
      </c>
      <c r="E14" s="3">
        <v>1</v>
      </c>
      <c r="F14" s="3">
        <v>1261</v>
      </c>
      <c r="G14" s="3"/>
      <c r="H14" s="3"/>
      <c r="I14" s="3"/>
      <c r="J14" s="20">
        <f t="shared" si="0"/>
        <v>1262</v>
      </c>
      <c r="K14" s="108">
        <v>1261</v>
      </c>
      <c r="L14" s="3">
        <f t="shared" si="1"/>
        <v>1</v>
      </c>
    </row>
    <row r="15" spans="1:12" x14ac:dyDescent="0.3">
      <c r="A15" s="254" t="s">
        <v>7</v>
      </c>
      <c r="B15" s="261" t="s">
        <v>21</v>
      </c>
      <c r="C15" s="2" t="s">
        <v>16</v>
      </c>
      <c r="D15" s="3">
        <v>245982</v>
      </c>
      <c r="E15" s="3">
        <v>267808</v>
      </c>
      <c r="F15" s="3"/>
      <c r="G15" s="3"/>
      <c r="H15" s="3"/>
      <c r="I15" s="3"/>
      <c r="J15" s="20">
        <f t="shared" si="0"/>
        <v>267808</v>
      </c>
      <c r="K15" s="108">
        <v>257369</v>
      </c>
      <c r="L15" s="3">
        <f t="shared" si="1"/>
        <v>10439</v>
      </c>
    </row>
    <row r="16" spans="1:12" x14ac:dyDescent="0.3">
      <c r="A16" s="254"/>
      <c r="B16" s="261"/>
      <c r="C16" s="2" t="s">
        <v>17</v>
      </c>
      <c r="D16" s="3">
        <v>1005557</v>
      </c>
      <c r="E16" s="3">
        <v>1005557</v>
      </c>
      <c r="F16" s="3"/>
      <c r="G16" s="3"/>
      <c r="H16" s="3"/>
      <c r="I16" s="3"/>
      <c r="J16" s="20">
        <f t="shared" si="0"/>
        <v>1005557</v>
      </c>
      <c r="K16" s="108">
        <v>1005557</v>
      </c>
      <c r="L16" s="3">
        <f t="shared" si="1"/>
        <v>0</v>
      </c>
    </row>
    <row r="17" spans="1:12" x14ac:dyDescent="0.3">
      <c r="A17" s="254" t="s">
        <v>8</v>
      </c>
      <c r="B17" s="261" t="s">
        <v>21</v>
      </c>
      <c r="C17" s="2" t="s">
        <v>16</v>
      </c>
      <c r="D17" s="3">
        <v>3086953</v>
      </c>
      <c r="E17" s="3">
        <v>3120172</v>
      </c>
      <c r="F17" s="3"/>
      <c r="G17" s="3"/>
      <c r="H17" s="3"/>
      <c r="I17" s="3"/>
      <c r="J17" s="20">
        <f t="shared" si="0"/>
        <v>3120172</v>
      </c>
      <c r="K17" s="108">
        <v>2348434</v>
      </c>
      <c r="L17" s="3">
        <f t="shared" si="1"/>
        <v>771738</v>
      </c>
    </row>
    <row r="18" spans="1:12" x14ac:dyDescent="0.3">
      <c r="A18" s="254"/>
      <c r="B18" s="261"/>
      <c r="C18" s="2" t="s">
        <v>17</v>
      </c>
      <c r="D18" s="3">
        <v>440959</v>
      </c>
      <c r="E18" s="3">
        <v>440959</v>
      </c>
      <c r="F18" s="3"/>
      <c r="G18" s="3"/>
      <c r="H18" s="3"/>
      <c r="I18" s="3"/>
      <c r="J18" s="20">
        <f t="shared" si="0"/>
        <v>440959</v>
      </c>
      <c r="K18" s="108">
        <v>440959</v>
      </c>
      <c r="L18" s="3">
        <f t="shared" si="1"/>
        <v>0</v>
      </c>
    </row>
    <row r="19" spans="1:12" x14ac:dyDescent="0.3">
      <c r="A19" s="254" t="s">
        <v>9</v>
      </c>
      <c r="B19" s="261" t="s">
        <v>21</v>
      </c>
      <c r="C19" s="2" t="s">
        <v>16</v>
      </c>
      <c r="D19" s="3">
        <v>1403439</v>
      </c>
      <c r="E19" s="3">
        <v>1426144</v>
      </c>
      <c r="F19" s="3"/>
      <c r="G19" s="3"/>
      <c r="H19" s="3"/>
      <c r="I19" s="3"/>
      <c r="J19" s="20">
        <f t="shared" si="0"/>
        <v>1426144</v>
      </c>
      <c r="K19" s="108">
        <v>1233200</v>
      </c>
      <c r="L19" s="3">
        <f t="shared" si="1"/>
        <v>192944</v>
      </c>
    </row>
    <row r="20" spans="1:12" x14ac:dyDescent="0.3">
      <c r="A20" s="254"/>
      <c r="B20" s="261"/>
      <c r="C20" s="2" t="s">
        <v>17</v>
      </c>
      <c r="D20" s="3">
        <v>599759</v>
      </c>
      <c r="E20" s="3">
        <v>599759</v>
      </c>
      <c r="F20" s="3"/>
      <c r="G20" s="3"/>
      <c r="H20" s="3"/>
      <c r="I20" s="3"/>
      <c r="J20" s="20">
        <f t="shared" si="0"/>
        <v>599759</v>
      </c>
      <c r="K20" s="108">
        <v>599759</v>
      </c>
      <c r="L20" s="3">
        <f t="shared" si="1"/>
        <v>0</v>
      </c>
    </row>
    <row r="21" spans="1:12" x14ac:dyDescent="0.3">
      <c r="A21" s="262" t="s">
        <v>54</v>
      </c>
      <c r="B21" s="264" t="s">
        <v>21</v>
      </c>
      <c r="C21" s="2" t="s">
        <v>16</v>
      </c>
      <c r="D21" s="3">
        <v>4056383</v>
      </c>
      <c r="E21" s="3">
        <v>4056383</v>
      </c>
      <c r="F21" s="3"/>
      <c r="G21" s="3"/>
      <c r="H21" s="3"/>
      <c r="I21" s="3"/>
      <c r="J21" s="20">
        <f t="shared" si="0"/>
        <v>4056383</v>
      </c>
      <c r="K21" s="108">
        <v>3992522</v>
      </c>
      <c r="L21" s="3">
        <f t="shared" si="1"/>
        <v>63861</v>
      </c>
    </row>
    <row r="22" spans="1:12" x14ac:dyDescent="0.3">
      <c r="A22" s="263"/>
      <c r="B22" s="265"/>
      <c r="C22" s="2" t="s">
        <v>17</v>
      </c>
      <c r="D22" s="3">
        <v>226299</v>
      </c>
      <c r="E22" s="3">
        <v>226299</v>
      </c>
      <c r="F22" s="3"/>
      <c r="G22" s="3"/>
      <c r="H22" s="3"/>
      <c r="I22" s="3"/>
      <c r="J22" s="20">
        <f t="shared" si="0"/>
        <v>226299</v>
      </c>
      <c r="K22" s="108">
        <v>226299</v>
      </c>
      <c r="L22" s="3">
        <f t="shared" si="1"/>
        <v>0</v>
      </c>
    </row>
    <row r="23" spans="1:12" x14ac:dyDescent="0.3">
      <c r="A23" s="254" t="s">
        <v>10</v>
      </c>
      <c r="B23" s="261" t="s">
        <v>21</v>
      </c>
      <c r="C23" s="2" t="s">
        <v>16</v>
      </c>
      <c r="D23" s="3">
        <v>53627392</v>
      </c>
      <c r="E23" s="3">
        <v>53627392</v>
      </c>
      <c r="F23" s="3"/>
      <c r="G23" s="3"/>
      <c r="H23" s="3"/>
      <c r="I23" s="3"/>
      <c r="J23" s="20">
        <f t="shared" si="0"/>
        <v>53627392</v>
      </c>
      <c r="K23" s="108">
        <v>28328650</v>
      </c>
      <c r="L23" s="3">
        <f t="shared" si="1"/>
        <v>25298742</v>
      </c>
    </row>
    <row r="24" spans="1:12" x14ac:dyDescent="0.3">
      <c r="A24" s="254"/>
      <c r="B24" s="261"/>
      <c r="C24" s="2" t="s">
        <v>17</v>
      </c>
      <c r="D24" s="3">
        <v>6467166</v>
      </c>
      <c r="E24" s="3">
        <v>6467166</v>
      </c>
      <c r="F24" s="3"/>
      <c r="G24" s="3"/>
      <c r="H24" s="3"/>
      <c r="I24" s="3"/>
      <c r="J24" s="20">
        <f t="shared" si="0"/>
        <v>6467166</v>
      </c>
      <c r="K24" s="108">
        <v>6467166</v>
      </c>
      <c r="L24" s="3">
        <f t="shared" si="1"/>
        <v>0</v>
      </c>
    </row>
    <row r="25" spans="1:12" ht="30" customHeight="1" x14ac:dyDescent="0.3">
      <c r="A25" s="372" t="s">
        <v>73</v>
      </c>
      <c r="B25" s="373"/>
      <c r="C25" s="374"/>
      <c r="D25" s="163">
        <f t="shared" ref="D25:L25" si="2">SUM(D5:D24)</f>
        <v>230443641</v>
      </c>
      <c r="E25" s="163">
        <f t="shared" si="2"/>
        <v>231861839</v>
      </c>
      <c r="F25" s="163">
        <f t="shared" si="2"/>
        <v>0</v>
      </c>
      <c r="G25" s="163">
        <f t="shared" si="2"/>
        <v>-420313</v>
      </c>
      <c r="H25" s="163">
        <f t="shared" si="2"/>
        <v>-1071771</v>
      </c>
      <c r="I25" s="163">
        <f t="shared" si="2"/>
        <v>0</v>
      </c>
      <c r="J25" s="163">
        <f t="shared" si="2"/>
        <v>230369755</v>
      </c>
      <c r="K25" s="164">
        <f t="shared" si="2"/>
        <v>182972810</v>
      </c>
      <c r="L25" s="163">
        <f t="shared" si="2"/>
        <v>47396945</v>
      </c>
    </row>
    <row r="26" spans="1:12" x14ac:dyDescent="0.3">
      <c r="A26" s="254" t="s">
        <v>11</v>
      </c>
      <c r="B26" s="264" t="s">
        <v>23</v>
      </c>
      <c r="C26" s="2" t="s">
        <v>24</v>
      </c>
      <c r="D26" s="3">
        <v>35883092</v>
      </c>
      <c r="E26" s="3">
        <v>35438980</v>
      </c>
      <c r="F26" s="3"/>
      <c r="G26" s="3"/>
      <c r="H26" s="3"/>
      <c r="I26" s="3"/>
      <c r="J26" s="20">
        <f t="shared" ref="J26:J32" si="3">E26+F26+G26+H26+I26</f>
        <v>35438980</v>
      </c>
      <c r="K26" s="108">
        <v>30061199</v>
      </c>
      <c r="L26" s="3">
        <f t="shared" ref="L26:L32" si="4">J26-K26</f>
        <v>5377781</v>
      </c>
    </row>
    <row r="27" spans="1:12" x14ac:dyDescent="0.3">
      <c r="A27" s="254"/>
      <c r="B27" s="268"/>
      <c r="C27" s="2" t="s">
        <v>25</v>
      </c>
      <c r="D27" s="3">
        <v>1542000</v>
      </c>
      <c r="E27" s="3">
        <v>1542000</v>
      </c>
      <c r="F27" s="3"/>
      <c r="G27" s="3"/>
      <c r="H27" s="3"/>
      <c r="I27" s="3"/>
      <c r="J27" s="20">
        <f t="shared" si="3"/>
        <v>1542000</v>
      </c>
      <c r="K27" s="108">
        <v>1425000</v>
      </c>
      <c r="L27" s="3">
        <f t="shared" si="4"/>
        <v>117000</v>
      </c>
    </row>
    <row r="28" spans="1:12" x14ac:dyDescent="0.3">
      <c r="A28" s="254"/>
      <c r="B28" s="268"/>
      <c r="C28" s="2" t="s">
        <v>26</v>
      </c>
      <c r="D28" s="3">
        <v>80000</v>
      </c>
      <c r="E28" s="3">
        <v>80000</v>
      </c>
      <c r="F28" s="3"/>
      <c r="G28" s="3"/>
      <c r="H28" s="3"/>
      <c r="I28" s="3"/>
      <c r="J28" s="20">
        <f t="shared" si="3"/>
        <v>80000</v>
      </c>
      <c r="K28" s="108">
        <v>75000</v>
      </c>
      <c r="L28" s="3">
        <f t="shared" si="4"/>
        <v>5000</v>
      </c>
    </row>
    <row r="29" spans="1:12" x14ac:dyDescent="0.3">
      <c r="A29" s="254"/>
      <c r="B29" s="268"/>
      <c r="C29" s="2" t="s">
        <v>27</v>
      </c>
      <c r="D29" s="3">
        <v>893400</v>
      </c>
      <c r="E29" s="3">
        <v>887586</v>
      </c>
      <c r="F29" s="3"/>
      <c r="G29" s="3"/>
      <c r="H29" s="3"/>
      <c r="I29" s="3"/>
      <c r="J29" s="20">
        <f t="shared" si="3"/>
        <v>887586</v>
      </c>
      <c r="K29" s="108">
        <v>626222</v>
      </c>
      <c r="L29" s="3">
        <f t="shared" si="4"/>
        <v>261364</v>
      </c>
    </row>
    <row r="30" spans="1:12" x14ac:dyDescent="0.3">
      <c r="A30" s="254"/>
      <c r="B30" s="268"/>
      <c r="C30" s="2" t="s">
        <v>28</v>
      </c>
      <c r="D30" s="3">
        <v>190000</v>
      </c>
      <c r="E30" s="3">
        <v>190000</v>
      </c>
      <c r="F30" s="3"/>
      <c r="G30" s="3"/>
      <c r="H30" s="3"/>
      <c r="I30" s="3"/>
      <c r="J30" s="20">
        <f t="shared" si="3"/>
        <v>190000</v>
      </c>
      <c r="K30" s="108">
        <v>183000</v>
      </c>
      <c r="L30" s="3">
        <f t="shared" si="4"/>
        <v>7000</v>
      </c>
    </row>
    <row r="31" spans="1:12" x14ac:dyDescent="0.3">
      <c r="A31" s="254"/>
      <c r="B31" s="268"/>
      <c r="C31" s="2" t="s">
        <v>29</v>
      </c>
      <c r="D31" s="3">
        <v>1086500</v>
      </c>
      <c r="E31" s="3">
        <v>1414943</v>
      </c>
      <c r="F31" s="3"/>
      <c r="G31" s="3"/>
      <c r="H31" s="3"/>
      <c r="I31" s="3"/>
      <c r="J31" s="20">
        <f t="shared" si="3"/>
        <v>1414943</v>
      </c>
      <c r="K31" s="108">
        <v>1087676</v>
      </c>
      <c r="L31" s="3">
        <f t="shared" si="4"/>
        <v>327267</v>
      </c>
    </row>
    <row r="32" spans="1:12" x14ac:dyDescent="0.3">
      <c r="A32" s="254"/>
      <c r="B32" s="268"/>
      <c r="C32" s="2" t="s">
        <v>30</v>
      </c>
      <c r="D32" s="3">
        <v>100000</v>
      </c>
      <c r="E32" s="3">
        <v>100000</v>
      </c>
      <c r="F32" s="3"/>
      <c r="G32" s="3"/>
      <c r="H32" s="3"/>
      <c r="I32" s="3"/>
      <c r="J32" s="20">
        <f t="shared" si="3"/>
        <v>100000</v>
      </c>
      <c r="K32" s="108">
        <v>67798</v>
      </c>
      <c r="L32" s="3">
        <f t="shared" si="4"/>
        <v>32202</v>
      </c>
    </row>
    <row r="33" spans="1:12" x14ac:dyDescent="0.3">
      <c r="A33" s="254"/>
      <c r="B33" s="268"/>
      <c r="C33" s="6" t="s">
        <v>53</v>
      </c>
      <c r="D33" s="7">
        <f>SUM(D26:D32)</f>
        <v>39774992</v>
      </c>
      <c r="E33" s="7">
        <v>39653509</v>
      </c>
      <c r="F33" s="7">
        <f t="shared" ref="F33:L33" si="5">SUM(F26:F32)</f>
        <v>0</v>
      </c>
      <c r="G33" s="7">
        <f t="shared" si="5"/>
        <v>0</v>
      </c>
      <c r="H33" s="7">
        <f t="shared" si="5"/>
        <v>0</v>
      </c>
      <c r="I33" s="7">
        <f t="shared" si="5"/>
        <v>0</v>
      </c>
      <c r="J33" s="7">
        <f t="shared" si="5"/>
        <v>39653509</v>
      </c>
      <c r="K33" s="110">
        <f t="shared" si="5"/>
        <v>33525895</v>
      </c>
      <c r="L33" s="7">
        <f t="shared" si="5"/>
        <v>6127614</v>
      </c>
    </row>
    <row r="34" spans="1:12" x14ac:dyDescent="0.3">
      <c r="A34" s="254"/>
      <c r="B34" s="268"/>
      <c r="C34" s="82" t="s">
        <v>31</v>
      </c>
      <c r="D34" s="83">
        <v>7793417</v>
      </c>
      <c r="E34" s="83">
        <v>7795732</v>
      </c>
      <c r="F34" s="83"/>
      <c r="G34" s="83"/>
      <c r="H34" s="83"/>
      <c r="I34" s="83"/>
      <c r="J34" s="84">
        <f t="shared" ref="J34:J48" si="6">E34+F34+G34+H34+I34</f>
        <v>7795732</v>
      </c>
      <c r="K34" s="111">
        <v>6645389</v>
      </c>
      <c r="L34" s="85">
        <f t="shared" ref="L34:L48" si="7">J34-K34</f>
        <v>1150343</v>
      </c>
    </row>
    <row r="35" spans="1:12" x14ac:dyDescent="0.3">
      <c r="A35" s="254"/>
      <c r="B35" s="268"/>
      <c r="C35" s="2" t="s">
        <v>32</v>
      </c>
      <c r="D35" s="3">
        <v>105000</v>
      </c>
      <c r="E35" s="3">
        <v>115000</v>
      </c>
      <c r="F35" s="3"/>
      <c r="G35" s="3"/>
      <c r="H35" s="3"/>
      <c r="I35" s="3"/>
      <c r="J35" s="20">
        <f t="shared" si="6"/>
        <v>115000</v>
      </c>
      <c r="K35" s="108">
        <v>24818</v>
      </c>
      <c r="L35" s="3">
        <f t="shared" si="7"/>
        <v>90182</v>
      </c>
    </row>
    <row r="36" spans="1:12" x14ac:dyDescent="0.3">
      <c r="A36" s="254"/>
      <c r="B36" s="268"/>
      <c r="C36" s="2" t="s">
        <v>33</v>
      </c>
      <c r="D36" s="3">
        <v>500000</v>
      </c>
      <c r="E36" s="3">
        <v>500000</v>
      </c>
      <c r="F36" s="3"/>
      <c r="G36" s="3"/>
      <c r="H36" s="3"/>
      <c r="I36" s="3"/>
      <c r="J36" s="20">
        <f t="shared" si="6"/>
        <v>500000</v>
      </c>
      <c r="K36" s="108">
        <v>2122</v>
      </c>
      <c r="L36" s="3">
        <f t="shared" si="7"/>
        <v>497878</v>
      </c>
    </row>
    <row r="37" spans="1:12" x14ac:dyDescent="0.3">
      <c r="A37" s="254"/>
      <c r="B37" s="268"/>
      <c r="C37" s="2" t="s">
        <v>34</v>
      </c>
      <c r="D37" s="3">
        <v>213000</v>
      </c>
      <c r="E37" s="3">
        <v>213000</v>
      </c>
      <c r="F37" s="3"/>
      <c r="G37" s="3"/>
      <c r="H37" s="3"/>
      <c r="I37" s="3"/>
      <c r="J37" s="20">
        <f t="shared" si="6"/>
        <v>213000</v>
      </c>
      <c r="K37" s="108">
        <v>124517</v>
      </c>
      <c r="L37" s="3">
        <f t="shared" si="7"/>
        <v>88483</v>
      </c>
    </row>
    <row r="38" spans="1:12" x14ac:dyDescent="0.3">
      <c r="A38" s="254"/>
      <c r="B38" s="268"/>
      <c r="C38" s="2" t="s">
        <v>35</v>
      </c>
      <c r="D38" s="3">
        <v>162000</v>
      </c>
      <c r="E38" s="3">
        <v>162000</v>
      </c>
      <c r="F38" s="3"/>
      <c r="G38" s="3"/>
      <c r="H38" s="3"/>
      <c r="I38" s="3"/>
      <c r="J38" s="20">
        <f t="shared" si="6"/>
        <v>162000</v>
      </c>
      <c r="K38" s="108">
        <v>62075</v>
      </c>
      <c r="L38" s="3">
        <f t="shared" si="7"/>
        <v>99925</v>
      </c>
    </row>
    <row r="39" spans="1:12" x14ac:dyDescent="0.3">
      <c r="A39" s="254"/>
      <c r="B39" s="268"/>
      <c r="C39" s="2" t="s">
        <v>36</v>
      </c>
      <c r="D39" s="3">
        <v>569540</v>
      </c>
      <c r="E39" s="3">
        <v>569540</v>
      </c>
      <c r="F39" s="3"/>
      <c r="G39" s="3"/>
      <c r="H39" s="3"/>
      <c r="I39" s="3"/>
      <c r="J39" s="20">
        <f t="shared" si="6"/>
        <v>569540</v>
      </c>
      <c r="K39" s="108">
        <v>436848</v>
      </c>
      <c r="L39" s="3">
        <f t="shared" si="7"/>
        <v>132692</v>
      </c>
    </row>
    <row r="40" spans="1:12" x14ac:dyDescent="0.3">
      <c r="A40" s="254"/>
      <c r="B40" s="268"/>
      <c r="C40" s="2" t="s">
        <v>37</v>
      </c>
      <c r="D40" s="3">
        <v>3000</v>
      </c>
      <c r="E40" s="3">
        <v>3000</v>
      </c>
      <c r="F40" s="3"/>
      <c r="G40" s="3"/>
      <c r="H40" s="3"/>
      <c r="I40" s="3"/>
      <c r="J40" s="20">
        <f t="shared" si="6"/>
        <v>3000</v>
      </c>
      <c r="K40" s="108">
        <v>0</v>
      </c>
      <c r="L40" s="3">
        <f t="shared" si="7"/>
        <v>3000</v>
      </c>
    </row>
    <row r="41" spans="1:12" x14ac:dyDescent="0.3">
      <c r="A41" s="254"/>
      <c r="B41" s="268"/>
      <c r="C41" s="2" t="s">
        <v>38</v>
      </c>
      <c r="D41" s="3">
        <v>460000</v>
      </c>
      <c r="E41" s="3">
        <v>456500</v>
      </c>
      <c r="F41" s="3"/>
      <c r="G41" s="3"/>
      <c r="H41" s="3"/>
      <c r="I41" s="3"/>
      <c r="J41" s="20">
        <f t="shared" si="6"/>
        <v>456500</v>
      </c>
      <c r="K41" s="108">
        <v>228302</v>
      </c>
      <c r="L41" s="3">
        <f t="shared" si="7"/>
        <v>228198</v>
      </c>
    </row>
    <row r="42" spans="1:12" x14ac:dyDescent="0.3">
      <c r="A42" s="254"/>
      <c r="B42" s="268"/>
      <c r="C42" s="2" t="s">
        <v>39</v>
      </c>
      <c r="D42" s="3">
        <v>13200</v>
      </c>
      <c r="E42" s="3">
        <v>31926</v>
      </c>
      <c r="F42" s="3"/>
      <c r="G42" s="3"/>
      <c r="H42" s="3"/>
      <c r="I42" s="3"/>
      <c r="J42" s="20">
        <f t="shared" si="6"/>
        <v>31926</v>
      </c>
      <c r="K42" s="108">
        <v>25129</v>
      </c>
      <c r="L42" s="3">
        <f t="shared" si="7"/>
        <v>6797</v>
      </c>
    </row>
    <row r="43" spans="1:12" x14ac:dyDescent="0.3">
      <c r="A43" s="254"/>
      <c r="B43" s="268"/>
      <c r="C43" s="2" t="s">
        <v>40</v>
      </c>
      <c r="D43" s="3">
        <v>137800</v>
      </c>
      <c r="E43" s="3">
        <v>62800</v>
      </c>
      <c r="F43" s="3"/>
      <c r="G43" s="3"/>
      <c r="H43" s="3"/>
      <c r="I43" s="3"/>
      <c r="J43" s="20">
        <f t="shared" si="6"/>
        <v>62800</v>
      </c>
      <c r="K43" s="108">
        <v>80200</v>
      </c>
      <c r="L43" s="3">
        <f t="shared" si="7"/>
        <v>-17400</v>
      </c>
    </row>
    <row r="44" spans="1:12" x14ac:dyDescent="0.3">
      <c r="A44" s="254"/>
      <c r="B44" s="268"/>
      <c r="C44" s="2" t="s">
        <v>41</v>
      </c>
      <c r="D44" s="3">
        <v>582236</v>
      </c>
      <c r="E44" s="3">
        <v>578510</v>
      </c>
      <c r="F44" s="3">
        <v>30000</v>
      </c>
      <c r="G44" s="3"/>
      <c r="H44" s="3"/>
      <c r="I44" s="3"/>
      <c r="J44" s="20">
        <f t="shared" si="6"/>
        <v>608510</v>
      </c>
      <c r="K44" s="108">
        <v>607886</v>
      </c>
      <c r="L44" s="3">
        <f t="shared" si="7"/>
        <v>624</v>
      </c>
    </row>
    <row r="45" spans="1:12" x14ac:dyDescent="0.3">
      <c r="A45" s="254"/>
      <c r="B45" s="268"/>
      <c r="C45" s="2" t="s">
        <v>42</v>
      </c>
      <c r="D45" s="3">
        <v>552000</v>
      </c>
      <c r="E45" s="3">
        <v>534045</v>
      </c>
      <c r="F45" s="3">
        <v>-30000</v>
      </c>
      <c r="G45" s="3"/>
      <c r="H45" s="3"/>
      <c r="I45" s="3"/>
      <c r="J45" s="20">
        <f t="shared" si="6"/>
        <v>504045</v>
      </c>
      <c r="K45" s="108">
        <v>353340</v>
      </c>
      <c r="L45" s="3">
        <f t="shared" si="7"/>
        <v>150705</v>
      </c>
    </row>
    <row r="46" spans="1:12" x14ac:dyDescent="0.3">
      <c r="A46" s="254"/>
      <c r="B46" s="268"/>
      <c r="C46" s="2" t="s">
        <v>43</v>
      </c>
      <c r="D46" s="3">
        <v>30000</v>
      </c>
      <c r="E46" s="3">
        <v>30000</v>
      </c>
      <c r="F46" s="3"/>
      <c r="G46" s="3"/>
      <c r="H46" s="3"/>
      <c r="I46" s="3"/>
      <c r="J46" s="20">
        <f t="shared" si="6"/>
        <v>30000</v>
      </c>
      <c r="K46" s="108">
        <v>0</v>
      </c>
      <c r="L46" s="3">
        <f t="shared" si="7"/>
        <v>30000</v>
      </c>
    </row>
    <row r="47" spans="1:12" x14ac:dyDescent="0.3">
      <c r="A47" s="254"/>
      <c r="B47" s="268"/>
      <c r="C47" s="2" t="s">
        <v>44</v>
      </c>
      <c r="D47" s="3">
        <v>455834</v>
      </c>
      <c r="E47" s="3">
        <v>218435</v>
      </c>
      <c r="F47" s="3"/>
      <c r="G47" s="3"/>
      <c r="H47" s="3"/>
      <c r="I47" s="3"/>
      <c r="J47" s="20">
        <f t="shared" si="6"/>
        <v>218435</v>
      </c>
      <c r="K47" s="108">
        <v>168570</v>
      </c>
      <c r="L47" s="3">
        <f t="shared" si="7"/>
        <v>49865</v>
      </c>
    </row>
    <row r="48" spans="1:12" x14ac:dyDescent="0.3">
      <c r="A48" s="254"/>
      <c r="B48" s="268"/>
      <c r="C48" s="2" t="s">
        <v>45</v>
      </c>
      <c r="D48" s="3">
        <v>80000</v>
      </c>
      <c r="E48" s="3">
        <v>75764</v>
      </c>
      <c r="F48" s="3"/>
      <c r="G48" s="3"/>
      <c r="H48" s="3"/>
      <c r="I48" s="3"/>
      <c r="J48" s="20">
        <f t="shared" si="6"/>
        <v>75764</v>
      </c>
      <c r="K48" s="108">
        <v>65300</v>
      </c>
      <c r="L48" s="3">
        <f t="shared" si="7"/>
        <v>10464</v>
      </c>
    </row>
    <row r="49" spans="1:12" x14ac:dyDescent="0.3">
      <c r="A49" s="254"/>
      <c r="B49" s="268"/>
      <c r="C49" s="6" t="s">
        <v>49</v>
      </c>
      <c r="D49" s="7">
        <f>SUM(D35:D48)</f>
        <v>3863610</v>
      </c>
      <c r="E49" s="7">
        <v>3550520</v>
      </c>
      <c r="F49" s="7">
        <f t="shared" ref="F49:L49" si="8">SUM(F35:F48)</f>
        <v>0</v>
      </c>
      <c r="G49" s="7">
        <f t="shared" si="8"/>
        <v>0</v>
      </c>
      <c r="H49" s="7">
        <f t="shared" si="8"/>
        <v>0</v>
      </c>
      <c r="I49" s="7">
        <f t="shared" si="8"/>
        <v>0</v>
      </c>
      <c r="J49" s="7">
        <f t="shared" si="8"/>
        <v>3550520</v>
      </c>
      <c r="K49" s="110">
        <f t="shared" si="8"/>
        <v>2179107</v>
      </c>
      <c r="L49" s="7">
        <f t="shared" si="8"/>
        <v>1371413</v>
      </c>
    </row>
    <row r="50" spans="1:12" x14ac:dyDescent="0.3">
      <c r="A50" s="254"/>
      <c r="B50" s="268"/>
      <c r="C50" s="2" t="s">
        <v>50</v>
      </c>
      <c r="D50" s="3">
        <v>78740</v>
      </c>
      <c r="E50" s="3">
        <v>78740</v>
      </c>
      <c r="F50" s="3"/>
      <c r="G50" s="3"/>
      <c r="H50" s="3"/>
      <c r="I50" s="3"/>
      <c r="J50" s="20">
        <f t="shared" ref="J50:J51" si="9">E50+F50+G50+H50+I50</f>
        <v>78740</v>
      </c>
      <c r="K50" s="108">
        <v>0</v>
      </c>
      <c r="L50" s="3">
        <f t="shared" ref="L50:L51" si="10">J50-K50</f>
        <v>78740</v>
      </c>
    </row>
    <row r="51" spans="1:12" x14ac:dyDescent="0.3">
      <c r="A51" s="254"/>
      <c r="B51" s="268"/>
      <c r="C51" s="2" t="s">
        <v>51</v>
      </c>
      <c r="D51" s="3">
        <v>21260</v>
      </c>
      <c r="E51" s="3">
        <v>21260</v>
      </c>
      <c r="F51" s="3"/>
      <c r="G51" s="3"/>
      <c r="H51" s="3"/>
      <c r="I51" s="3"/>
      <c r="J51" s="20">
        <f t="shared" si="9"/>
        <v>21260</v>
      </c>
      <c r="K51" s="108">
        <v>0</v>
      </c>
      <c r="L51" s="3">
        <f t="shared" si="10"/>
        <v>21260</v>
      </c>
    </row>
    <row r="52" spans="1:12" x14ac:dyDescent="0.3">
      <c r="A52" s="254"/>
      <c r="B52" s="265"/>
      <c r="C52" s="6" t="s">
        <v>52</v>
      </c>
      <c r="D52" s="7">
        <f>SUM(D50:D51)</f>
        <v>100000</v>
      </c>
      <c r="E52" s="7">
        <v>100000</v>
      </c>
      <c r="F52" s="7">
        <f t="shared" ref="F52:L52" si="11">SUM(F50:F51)</f>
        <v>0</v>
      </c>
      <c r="G52" s="7">
        <f t="shared" si="11"/>
        <v>0</v>
      </c>
      <c r="H52" s="7">
        <f t="shared" si="11"/>
        <v>0</v>
      </c>
      <c r="I52" s="7">
        <f t="shared" si="11"/>
        <v>0</v>
      </c>
      <c r="J52" s="7">
        <f t="shared" si="11"/>
        <v>100000</v>
      </c>
      <c r="K52" s="110">
        <f t="shared" si="11"/>
        <v>0</v>
      </c>
      <c r="L52" s="7">
        <f t="shared" si="11"/>
        <v>100000</v>
      </c>
    </row>
    <row r="53" spans="1:12" x14ac:dyDescent="0.3">
      <c r="A53" s="254"/>
      <c r="B53" s="261" t="s">
        <v>46</v>
      </c>
      <c r="C53" s="2" t="s">
        <v>24</v>
      </c>
      <c r="D53" s="3">
        <v>25123345</v>
      </c>
      <c r="E53" s="3">
        <v>25175087</v>
      </c>
      <c r="F53" s="3">
        <v>-425381</v>
      </c>
      <c r="G53" s="3"/>
      <c r="H53" s="3"/>
      <c r="I53" s="3"/>
      <c r="J53" s="20">
        <f t="shared" ref="J53:J61" si="12">E53+F53+G53+H53+I53</f>
        <v>24749706</v>
      </c>
      <c r="K53" s="108">
        <v>21574373</v>
      </c>
      <c r="L53" s="3">
        <f t="shared" ref="L53:L61" si="13">J53-K53</f>
        <v>3175333</v>
      </c>
    </row>
    <row r="54" spans="1:12" x14ac:dyDescent="0.3">
      <c r="A54" s="254"/>
      <c r="B54" s="261"/>
      <c r="C54" s="2" t="s">
        <v>47</v>
      </c>
      <c r="D54" s="3">
        <v>2040480</v>
      </c>
      <c r="E54" s="3">
        <v>2040480</v>
      </c>
      <c r="F54" s="3"/>
      <c r="G54" s="3"/>
      <c r="H54" s="3"/>
      <c r="I54" s="3"/>
      <c r="J54" s="20">
        <f t="shared" si="12"/>
        <v>2040480</v>
      </c>
      <c r="K54" s="108">
        <v>1755902</v>
      </c>
      <c r="L54" s="3">
        <f t="shared" si="13"/>
        <v>284578</v>
      </c>
    </row>
    <row r="55" spans="1:12" x14ac:dyDescent="0.3">
      <c r="A55" s="254"/>
      <c r="B55" s="261"/>
      <c r="C55" s="2" t="s">
        <v>48</v>
      </c>
      <c r="D55" s="3">
        <v>0</v>
      </c>
      <c r="E55" s="3">
        <v>0</v>
      </c>
      <c r="F55" s="3"/>
      <c r="G55" s="3"/>
      <c r="H55" s="3"/>
      <c r="I55" s="3"/>
      <c r="J55" s="20">
        <f t="shared" si="12"/>
        <v>0</v>
      </c>
      <c r="K55" s="108">
        <v>0</v>
      </c>
      <c r="L55" s="3">
        <f t="shared" si="13"/>
        <v>0</v>
      </c>
    </row>
    <row r="56" spans="1:12" x14ac:dyDescent="0.3">
      <c r="A56" s="254"/>
      <c r="B56" s="261"/>
      <c r="C56" s="2" t="s">
        <v>25</v>
      </c>
      <c r="D56" s="3">
        <v>1025000</v>
      </c>
      <c r="E56" s="3">
        <v>1025000</v>
      </c>
      <c r="F56" s="3"/>
      <c r="G56" s="3"/>
      <c r="H56" s="3"/>
      <c r="I56" s="3"/>
      <c r="J56" s="20">
        <f t="shared" si="12"/>
        <v>1025000</v>
      </c>
      <c r="K56" s="108">
        <v>925000</v>
      </c>
      <c r="L56" s="3">
        <f t="shared" si="13"/>
        <v>100000</v>
      </c>
    </row>
    <row r="57" spans="1:12" x14ac:dyDescent="0.3">
      <c r="A57" s="254"/>
      <c r="B57" s="261"/>
      <c r="C57" s="2" t="s">
        <v>26</v>
      </c>
      <c r="D57" s="3">
        <v>60000</v>
      </c>
      <c r="E57" s="3">
        <v>60000</v>
      </c>
      <c r="F57" s="3"/>
      <c r="G57" s="3"/>
      <c r="H57" s="3"/>
      <c r="I57" s="3"/>
      <c r="J57" s="20">
        <f t="shared" si="12"/>
        <v>60000</v>
      </c>
      <c r="K57" s="108">
        <v>50000</v>
      </c>
      <c r="L57" s="3">
        <f t="shared" si="13"/>
        <v>10000</v>
      </c>
    </row>
    <row r="58" spans="1:12" x14ac:dyDescent="0.3">
      <c r="A58" s="254"/>
      <c r="B58" s="261"/>
      <c r="C58" s="2" t="s">
        <v>27</v>
      </c>
      <c r="D58" s="3">
        <v>240000</v>
      </c>
      <c r="E58" s="3">
        <v>229902</v>
      </c>
      <c r="F58" s="3"/>
      <c r="G58" s="3"/>
      <c r="H58" s="3"/>
      <c r="I58" s="3"/>
      <c r="J58" s="20">
        <f t="shared" si="12"/>
        <v>229902</v>
      </c>
      <c r="K58" s="108">
        <v>170550</v>
      </c>
      <c r="L58" s="3">
        <f t="shared" si="13"/>
        <v>59352</v>
      </c>
    </row>
    <row r="59" spans="1:12" x14ac:dyDescent="0.3">
      <c r="A59" s="254"/>
      <c r="B59" s="261"/>
      <c r="C59" s="2" t="s">
        <v>28</v>
      </c>
      <c r="D59" s="3">
        <v>147000</v>
      </c>
      <c r="E59" s="3">
        <v>147000</v>
      </c>
      <c r="F59" s="3"/>
      <c r="G59" s="3"/>
      <c r="H59" s="3"/>
      <c r="I59" s="3"/>
      <c r="J59" s="20">
        <f t="shared" si="12"/>
        <v>147000</v>
      </c>
      <c r="K59" s="108">
        <v>117000</v>
      </c>
      <c r="L59" s="3">
        <f t="shared" si="13"/>
        <v>30000</v>
      </c>
    </row>
    <row r="60" spans="1:12" x14ac:dyDescent="0.3">
      <c r="A60" s="254"/>
      <c r="B60" s="261"/>
      <c r="C60" s="2" t="s">
        <v>29</v>
      </c>
      <c r="D60" s="3">
        <v>553500</v>
      </c>
      <c r="E60" s="3">
        <v>592316</v>
      </c>
      <c r="F60" s="3">
        <v>425381</v>
      </c>
      <c r="G60" s="3"/>
      <c r="H60" s="3"/>
      <c r="I60" s="3"/>
      <c r="J60" s="20">
        <f t="shared" si="12"/>
        <v>1017697</v>
      </c>
      <c r="K60" s="108">
        <v>724982</v>
      </c>
      <c r="L60" s="3">
        <f t="shared" si="13"/>
        <v>292715</v>
      </c>
    </row>
    <row r="61" spans="1:12" x14ac:dyDescent="0.3">
      <c r="A61" s="254"/>
      <c r="B61" s="261"/>
      <c r="C61" s="2" t="s">
        <v>30</v>
      </c>
      <c r="D61" s="3">
        <v>100000</v>
      </c>
      <c r="E61" s="3">
        <v>100000</v>
      </c>
      <c r="F61" s="3"/>
      <c r="G61" s="3"/>
      <c r="H61" s="3"/>
      <c r="I61" s="3"/>
      <c r="J61" s="20">
        <f t="shared" si="12"/>
        <v>100000</v>
      </c>
      <c r="K61" s="108">
        <v>67798</v>
      </c>
      <c r="L61" s="3">
        <f t="shared" si="13"/>
        <v>32202</v>
      </c>
    </row>
    <row r="62" spans="1:12" x14ac:dyDescent="0.3">
      <c r="A62" s="254"/>
      <c r="B62" s="261"/>
      <c r="C62" s="6" t="s">
        <v>53</v>
      </c>
      <c r="D62" s="7">
        <f>SUM(D53:D61)</f>
        <v>29289325</v>
      </c>
      <c r="E62" s="7">
        <v>29369785</v>
      </c>
      <c r="F62" s="7">
        <f t="shared" ref="F62:L62" si="14">SUM(F53:F61)</f>
        <v>0</v>
      </c>
      <c r="G62" s="7">
        <f t="shared" si="14"/>
        <v>0</v>
      </c>
      <c r="H62" s="7">
        <f t="shared" si="14"/>
        <v>0</v>
      </c>
      <c r="I62" s="7">
        <f t="shared" si="14"/>
        <v>0</v>
      </c>
      <c r="J62" s="7">
        <f t="shared" si="14"/>
        <v>29369785</v>
      </c>
      <c r="K62" s="110">
        <f t="shared" si="14"/>
        <v>25385605</v>
      </c>
      <c r="L62" s="7">
        <f t="shared" si="14"/>
        <v>3984180</v>
      </c>
    </row>
    <row r="63" spans="1:12" x14ac:dyDescent="0.3">
      <c r="A63" s="254"/>
      <c r="B63" s="261"/>
      <c r="C63" s="82" t="s">
        <v>31</v>
      </c>
      <c r="D63" s="83">
        <v>5849797</v>
      </c>
      <c r="E63" s="83">
        <v>5859251</v>
      </c>
      <c r="F63" s="83"/>
      <c r="G63" s="83"/>
      <c r="H63" s="83"/>
      <c r="I63" s="83"/>
      <c r="J63" s="84">
        <f t="shared" ref="J63:J76" si="15">E63+F63+G63+H63+I63</f>
        <v>5859251</v>
      </c>
      <c r="K63" s="111">
        <v>5225944</v>
      </c>
      <c r="L63" s="85">
        <f t="shared" ref="L63:L76" si="16">J63-K63</f>
        <v>633307</v>
      </c>
    </row>
    <row r="64" spans="1:12" x14ac:dyDescent="0.3">
      <c r="A64" s="254"/>
      <c r="B64" s="261"/>
      <c r="C64" s="2" t="s">
        <v>32</v>
      </c>
      <c r="D64" s="3">
        <v>105000</v>
      </c>
      <c r="E64" s="3">
        <v>91486</v>
      </c>
      <c r="F64" s="3">
        <v>0</v>
      </c>
      <c r="G64" s="3"/>
      <c r="H64" s="3"/>
      <c r="I64" s="3"/>
      <c r="J64" s="20">
        <f t="shared" si="15"/>
        <v>91486</v>
      </c>
      <c r="K64" s="108">
        <v>24820</v>
      </c>
      <c r="L64" s="3">
        <f t="shared" si="16"/>
        <v>66666</v>
      </c>
    </row>
    <row r="65" spans="1:12" x14ac:dyDescent="0.3">
      <c r="A65" s="254"/>
      <c r="B65" s="261"/>
      <c r="C65" s="2" t="s">
        <v>33</v>
      </c>
      <c r="D65" s="3">
        <v>700000</v>
      </c>
      <c r="E65" s="3">
        <v>700000</v>
      </c>
      <c r="F65" s="3">
        <v>-500000</v>
      </c>
      <c r="G65" s="3"/>
      <c r="H65" s="3"/>
      <c r="I65" s="3"/>
      <c r="J65" s="20">
        <f t="shared" si="15"/>
        <v>200000</v>
      </c>
      <c r="K65" s="108">
        <v>44094</v>
      </c>
      <c r="L65" s="3">
        <f t="shared" si="16"/>
        <v>155906</v>
      </c>
    </row>
    <row r="66" spans="1:12" x14ac:dyDescent="0.3">
      <c r="A66" s="254"/>
      <c r="B66" s="261"/>
      <c r="C66" s="2" t="s">
        <v>34</v>
      </c>
      <c r="D66" s="3">
        <v>213000</v>
      </c>
      <c r="E66" s="3">
        <v>213000</v>
      </c>
      <c r="F66" s="3"/>
      <c r="G66" s="3"/>
      <c r="H66" s="3"/>
      <c r="I66" s="3"/>
      <c r="J66" s="20">
        <f t="shared" si="15"/>
        <v>213000</v>
      </c>
      <c r="K66" s="108">
        <v>116899</v>
      </c>
      <c r="L66" s="3">
        <f t="shared" si="16"/>
        <v>96101</v>
      </c>
    </row>
    <row r="67" spans="1:12" x14ac:dyDescent="0.3">
      <c r="A67" s="254"/>
      <c r="B67" s="261"/>
      <c r="C67" s="2" t="s">
        <v>35</v>
      </c>
      <c r="D67" s="3">
        <v>288000</v>
      </c>
      <c r="E67" s="3">
        <v>122200</v>
      </c>
      <c r="F67" s="3"/>
      <c r="G67" s="3"/>
      <c r="H67" s="3"/>
      <c r="I67" s="3"/>
      <c r="J67" s="20">
        <f t="shared" si="15"/>
        <v>122200</v>
      </c>
      <c r="K67" s="108">
        <v>102470</v>
      </c>
      <c r="L67" s="3">
        <f t="shared" si="16"/>
        <v>19730</v>
      </c>
    </row>
    <row r="68" spans="1:12" x14ac:dyDescent="0.3">
      <c r="A68" s="254"/>
      <c r="B68" s="261"/>
      <c r="C68" s="2" t="s">
        <v>36</v>
      </c>
      <c r="D68" s="3">
        <v>669540</v>
      </c>
      <c r="E68" s="3">
        <v>669540</v>
      </c>
      <c r="F68" s="3"/>
      <c r="G68" s="3"/>
      <c r="H68" s="3"/>
      <c r="I68" s="3"/>
      <c r="J68" s="20">
        <f t="shared" si="15"/>
        <v>669540</v>
      </c>
      <c r="K68" s="108">
        <v>526938</v>
      </c>
      <c r="L68" s="3">
        <f t="shared" si="16"/>
        <v>142602</v>
      </c>
    </row>
    <row r="69" spans="1:12" x14ac:dyDescent="0.3">
      <c r="A69" s="254"/>
      <c r="B69" s="261"/>
      <c r="C69" s="2" t="s">
        <v>37</v>
      </c>
      <c r="D69" s="3">
        <v>123000</v>
      </c>
      <c r="E69" s="3">
        <v>123000</v>
      </c>
      <c r="F69" s="3"/>
      <c r="G69" s="3"/>
      <c r="H69" s="3"/>
      <c r="I69" s="3"/>
      <c r="J69" s="20">
        <f t="shared" si="15"/>
        <v>123000</v>
      </c>
      <c r="K69" s="108">
        <v>0</v>
      </c>
      <c r="L69" s="3">
        <f t="shared" si="16"/>
        <v>123000</v>
      </c>
    </row>
    <row r="70" spans="1:12" x14ac:dyDescent="0.3">
      <c r="A70" s="254"/>
      <c r="B70" s="261"/>
      <c r="C70" s="2" t="s">
        <v>38</v>
      </c>
      <c r="D70" s="3">
        <v>460000</v>
      </c>
      <c r="E70" s="3">
        <v>460000</v>
      </c>
      <c r="F70" s="3"/>
      <c r="G70" s="3"/>
      <c r="H70" s="3"/>
      <c r="I70" s="3"/>
      <c r="J70" s="20">
        <f t="shared" si="15"/>
        <v>460000</v>
      </c>
      <c r="K70" s="108">
        <v>232805</v>
      </c>
      <c r="L70" s="3">
        <f t="shared" si="16"/>
        <v>227195</v>
      </c>
    </row>
    <row r="71" spans="1:12" x14ac:dyDescent="0.3">
      <c r="A71" s="254"/>
      <c r="B71" s="261"/>
      <c r="C71" s="2" t="s">
        <v>40</v>
      </c>
      <c r="D71" s="3">
        <v>1361904</v>
      </c>
      <c r="E71" s="3">
        <v>1253268</v>
      </c>
      <c r="F71" s="3"/>
      <c r="G71" s="3"/>
      <c r="H71" s="3"/>
      <c r="I71" s="3"/>
      <c r="J71" s="20">
        <f t="shared" si="15"/>
        <v>1253268</v>
      </c>
      <c r="K71" s="108">
        <v>821304</v>
      </c>
      <c r="L71" s="3">
        <f t="shared" si="16"/>
        <v>431964</v>
      </c>
    </row>
    <row r="72" spans="1:12" x14ac:dyDescent="0.3">
      <c r="A72" s="254"/>
      <c r="B72" s="261"/>
      <c r="C72" s="2" t="s">
        <v>41</v>
      </c>
      <c r="D72" s="3">
        <v>982236</v>
      </c>
      <c r="E72" s="3">
        <v>1089187</v>
      </c>
      <c r="F72" s="3">
        <v>500000</v>
      </c>
      <c r="G72" s="3"/>
      <c r="H72" s="3"/>
      <c r="I72" s="3"/>
      <c r="J72" s="20">
        <f t="shared" si="15"/>
        <v>1589187</v>
      </c>
      <c r="K72" s="108">
        <v>1318471</v>
      </c>
      <c r="L72" s="3">
        <f t="shared" si="16"/>
        <v>270716</v>
      </c>
    </row>
    <row r="73" spans="1:12" x14ac:dyDescent="0.3">
      <c r="A73" s="254"/>
      <c r="B73" s="261"/>
      <c r="C73" s="2" t="s">
        <v>42</v>
      </c>
      <c r="D73" s="3">
        <v>1200000</v>
      </c>
      <c r="E73" s="3">
        <v>1139045</v>
      </c>
      <c r="F73" s="3">
        <v>-240000</v>
      </c>
      <c r="G73" s="3"/>
      <c r="H73" s="3"/>
      <c r="I73" s="3"/>
      <c r="J73" s="20">
        <f t="shared" si="15"/>
        <v>899045</v>
      </c>
      <c r="K73" s="108">
        <v>316030</v>
      </c>
      <c r="L73" s="3">
        <f t="shared" si="16"/>
        <v>583015</v>
      </c>
    </row>
    <row r="74" spans="1:12" x14ac:dyDescent="0.3">
      <c r="A74" s="254"/>
      <c r="B74" s="261"/>
      <c r="C74" s="2" t="s">
        <v>43</v>
      </c>
      <c r="D74" s="3">
        <v>30000</v>
      </c>
      <c r="E74" s="3">
        <v>30000</v>
      </c>
      <c r="F74" s="3"/>
      <c r="G74" s="3"/>
      <c r="H74" s="3"/>
      <c r="I74" s="3"/>
      <c r="J74" s="20">
        <f t="shared" si="15"/>
        <v>30000</v>
      </c>
      <c r="K74" s="108">
        <v>0</v>
      </c>
      <c r="L74" s="3">
        <f t="shared" si="16"/>
        <v>30000</v>
      </c>
    </row>
    <row r="75" spans="1:12" x14ac:dyDescent="0.3">
      <c r="A75" s="254"/>
      <c r="B75" s="261"/>
      <c r="C75" s="2" t="s">
        <v>44</v>
      </c>
      <c r="D75" s="3">
        <v>1041508</v>
      </c>
      <c r="E75" s="3">
        <v>979438</v>
      </c>
      <c r="F75" s="3">
        <v>-1295</v>
      </c>
      <c r="G75" s="3"/>
      <c r="H75" s="3"/>
      <c r="I75" s="3"/>
      <c r="J75" s="20">
        <f t="shared" si="15"/>
        <v>978143</v>
      </c>
      <c r="K75" s="108">
        <v>376312</v>
      </c>
      <c r="L75" s="3">
        <f t="shared" si="16"/>
        <v>601831</v>
      </c>
    </row>
    <row r="76" spans="1:12" x14ac:dyDescent="0.3">
      <c r="A76" s="254"/>
      <c r="B76" s="261"/>
      <c r="C76" s="2" t="s">
        <v>45</v>
      </c>
      <c r="D76" s="3">
        <v>433021</v>
      </c>
      <c r="E76" s="3">
        <v>107603</v>
      </c>
      <c r="F76" s="3"/>
      <c r="G76" s="3"/>
      <c r="H76" s="3"/>
      <c r="I76" s="3"/>
      <c r="J76" s="20">
        <f t="shared" si="15"/>
        <v>107603</v>
      </c>
      <c r="K76" s="108">
        <v>0</v>
      </c>
      <c r="L76" s="3">
        <f t="shared" si="16"/>
        <v>107603</v>
      </c>
    </row>
    <row r="77" spans="1:12" x14ac:dyDescent="0.3">
      <c r="A77" s="254"/>
      <c r="B77" s="261"/>
      <c r="C77" s="6" t="s">
        <v>49</v>
      </c>
      <c r="D77" s="7">
        <f>SUM(D64:D76)</f>
        <v>7607209</v>
      </c>
      <c r="E77" s="7">
        <v>6977767</v>
      </c>
      <c r="F77" s="7">
        <f t="shared" ref="F77:L77" si="17">SUM(F64:F76)</f>
        <v>-241295</v>
      </c>
      <c r="G77" s="7">
        <f t="shared" si="17"/>
        <v>0</v>
      </c>
      <c r="H77" s="7">
        <f t="shared" si="17"/>
        <v>0</v>
      </c>
      <c r="I77" s="7">
        <f t="shared" si="17"/>
        <v>0</v>
      </c>
      <c r="J77" s="7">
        <f t="shared" si="17"/>
        <v>6736472</v>
      </c>
      <c r="K77" s="110">
        <f t="shared" si="17"/>
        <v>3880143</v>
      </c>
      <c r="L77" s="7">
        <f t="shared" si="17"/>
        <v>2856329</v>
      </c>
    </row>
    <row r="78" spans="1:12" x14ac:dyDescent="0.3">
      <c r="A78" s="254"/>
      <c r="B78" s="261"/>
      <c r="C78" s="2" t="s">
        <v>50</v>
      </c>
      <c r="D78" s="3">
        <v>78740</v>
      </c>
      <c r="E78" s="3">
        <v>78740</v>
      </c>
      <c r="F78" s="3"/>
      <c r="G78" s="3"/>
      <c r="H78" s="3"/>
      <c r="I78" s="3"/>
      <c r="J78" s="20">
        <f t="shared" ref="J78:J79" si="18">E78+F78+G78+H78+I78</f>
        <v>78740</v>
      </c>
      <c r="K78" s="108">
        <v>0</v>
      </c>
      <c r="L78" s="3">
        <f t="shared" ref="L78:L79" si="19">J78-K78</f>
        <v>78740</v>
      </c>
    </row>
    <row r="79" spans="1:12" x14ac:dyDescent="0.3">
      <c r="A79" s="254"/>
      <c r="B79" s="261"/>
      <c r="C79" s="2" t="s">
        <v>51</v>
      </c>
      <c r="D79" s="3">
        <v>21260</v>
      </c>
      <c r="E79" s="3">
        <v>21260</v>
      </c>
      <c r="F79" s="3"/>
      <c r="G79" s="3"/>
      <c r="H79" s="3"/>
      <c r="I79" s="3"/>
      <c r="J79" s="20">
        <f t="shared" si="18"/>
        <v>21260</v>
      </c>
      <c r="K79" s="108">
        <v>0</v>
      </c>
      <c r="L79" s="3">
        <f t="shared" si="19"/>
        <v>21260</v>
      </c>
    </row>
    <row r="80" spans="1:12" x14ac:dyDescent="0.3">
      <c r="A80" s="254"/>
      <c r="B80" s="261"/>
      <c r="C80" s="6" t="s">
        <v>52</v>
      </c>
      <c r="D80" s="7">
        <f>SUM(D78:D79)</f>
        <v>100000</v>
      </c>
      <c r="E80" s="7">
        <v>100000</v>
      </c>
      <c r="F80" s="7">
        <f t="shared" ref="F80:L80" si="20">SUM(F78:F79)</f>
        <v>0</v>
      </c>
      <c r="G80" s="7">
        <f t="shared" si="20"/>
        <v>0</v>
      </c>
      <c r="H80" s="7">
        <f t="shared" si="20"/>
        <v>0</v>
      </c>
      <c r="I80" s="7">
        <f t="shared" si="20"/>
        <v>0</v>
      </c>
      <c r="J80" s="7">
        <f t="shared" si="20"/>
        <v>100000</v>
      </c>
      <c r="K80" s="110">
        <f t="shared" si="20"/>
        <v>0</v>
      </c>
      <c r="L80" s="7">
        <f t="shared" si="20"/>
        <v>100000</v>
      </c>
    </row>
    <row r="81" spans="1:12" x14ac:dyDescent="0.3">
      <c r="A81" s="281" t="s">
        <v>58</v>
      </c>
      <c r="B81" s="280" t="s">
        <v>46</v>
      </c>
      <c r="C81" s="15" t="s">
        <v>29</v>
      </c>
      <c r="D81" s="24">
        <v>410400</v>
      </c>
      <c r="E81" s="24">
        <v>410400</v>
      </c>
      <c r="F81" s="11"/>
      <c r="G81" s="187">
        <v>36400</v>
      </c>
      <c r="H81" s="187"/>
      <c r="I81" s="11"/>
      <c r="J81" s="20">
        <f t="shared" ref="J81:J88" si="21">E81+F81+G81+H81+I81</f>
        <v>446800</v>
      </c>
      <c r="K81" s="108">
        <v>401100</v>
      </c>
      <c r="L81" s="3">
        <f t="shared" ref="L81:L88" si="22">J81-K81</f>
        <v>45700</v>
      </c>
    </row>
    <row r="82" spans="1:12" x14ac:dyDescent="0.3">
      <c r="A82" s="282"/>
      <c r="B82" s="286"/>
      <c r="C82" s="15" t="s">
        <v>31</v>
      </c>
      <c r="D82" s="24">
        <v>76266</v>
      </c>
      <c r="E82" s="24">
        <v>76266</v>
      </c>
      <c r="F82" s="11"/>
      <c r="G82" s="187">
        <v>6928</v>
      </c>
      <c r="H82" s="187"/>
      <c r="I82" s="11"/>
      <c r="J82" s="20">
        <f t="shared" si="21"/>
        <v>83194</v>
      </c>
      <c r="K82" s="108">
        <v>75198</v>
      </c>
      <c r="L82" s="3">
        <f t="shared" si="22"/>
        <v>7996</v>
      </c>
    </row>
    <row r="83" spans="1:12" x14ac:dyDescent="0.3">
      <c r="A83" s="281" t="s">
        <v>59</v>
      </c>
      <c r="B83" s="280" t="s">
        <v>23</v>
      </c>
      <c r="C83" s="15" t="s">
        <v>29</v>
      </c>
      <c r="D83" s="24">
        <v>603600</v>
      </c>
      <c r="E83" s="24">
        <v>603600</v>
      </c>
      <c r="F83" s="11"/>
      <c r="G83" s="187">
        <v>-261800</v>
      </c>
      <c r="H83" s="187"/>
      <c r="I83" s="11"/>
      <c r="J83" s="20">
        <f t="shared" si="21"/>
        <v>341800</v>
      </c>
      <c r="K83" s="108">
        <v>315300</v>
      </c>
      <c r="L83" s="3">
        <f t="shared" si="22"/>
        <v>26500</v>
      </c>
    </row>
    <row r="84" spans="1:12" x14ac:dyDescent="0.3">
      <c r="A84" s="282"/>
      <c r="B84" s="286"/>
      <c r="C84" s="15" t="s">
        <v>31</v>
      </c>
      <c r="D84" s="24">
        <v>112169</v>
      </c>
      <c r="E84" s="24">
        <v>112169</v>
      </c>
      <c r="F84" s="11"/>
      <c r="G84" s="187">
        <v>-48166</v>
      </c>
      <c r="H84" s="187"/>
      <c r="I84" s="11"/>
      <c r="J84" s="20">
        <f t="shared" si="21"/>
        <v>64003</v>
      </c>
      <c r="K84" s="108">
        <v>59369</v>
      </c>
      <c r="L84" s="3">
        <f t="shared" si="22"/>
        <v>4634</v>
      </c>
    </row>
    <row r="85" spans="1:12" x14ac:dyDescent="0.3">
      <c r="A85" s="281" t="s">
        <v>60</v>
      </c>
      <c r="B85" s="280" t="s">
        <v>23</v>
      </c>
      <c r="C85" s="15" t="s">
        <v>24</v>
      </c>
      <c r="D85" s="24">
        <v>10676226</v>
      </c>
      <c r="E85" s="24">
        <v>10676226</v>
      </c>
      <c r="F85" s="11"/>
      <c r="G85" s="187"/>
      <c r="H85" s="187">
        <v>-303175</v>
      </c>
      <c r="I85" s="11"/>
      <c r="J85" s="20">
        <f t="shared" si="21"/>
        <v>10373051</v>
      </c>
      <c r="K85" s="108">
        <v>9491730</v>
      </c>
      <c r="L85" s="3">
        <f t="shared" si="22"/>
        <v>881321</v>
      </c>
    </row>
    <row r="86" spans="1:12" x14ac:dyDescent="0.3">
      <c r="A86" s="282"/>
      <c r="B86" s="286"/>
      <c r="C86" s="15" t="s">
        <v>31</v>
      </c>
      <c r="D86" s="24">
        <v>1989265</v>
      </c>
      <c r="E86" s="24">
        <v>1989265</v>
      </c>
      <c r="F86" s="11"/>
      <c r="G86" s="187"/>
      <c r="H86" s="187">
        <v>-53750</v>
      </c>
      <c r="I86" s="11"/>
      <c r="J86" s="20">
        <f t="shared" si="21"/>
        <v>1935515</v>
      </c>
      <c r="K86" s="108">
        <v>1781284</v>
      </c>
      <c r="L86" s="3">
        <f t="shared" si="22"/>
        <v>154231</v>
      </c>
    </row>
    <row r="87" spans="1:12" x14ac:dyDescent="0.3">
      <c r="A87" s="281" t="s">
        <v>61</v>
      </c>
      <c r="B87" s="280" t="s">
        <v>46</v>
      </c>
      <c r="C87" s="15" t="s">
        <v>24</v>
      </c>
      <c r="D87" s="24">
        <v>8397674</v>
      </c>
      <c r="E87" s="24">
        <v>8397674</v>
      </c>
      <c r="F87" s="11"/>
      <c r="G87" s="187"/>
      <c r="H87" s="187">
        <v>-685857</v>
      </c>
      <c r="I87" s="11"/>
      <c r="J87" s="20">
        <f t="shared" si="21"/>
        <v>7711817</v>
      </c>
      <c r="K87" s="108">
        <v>6988734</v>
      </c>
      <c r="L87" s="3">
        <f t="shared" si="22"/>
        <v>723083</v>
      </c>
    </row>
    <row r="88" spans="1:12" x14ac:dyDescent="0.3">
      <c r="A88" s="282"/>
      <c r="B88" s="286"/>
      <c r="C88" s="15" t="s">
        <v>31</v>
      </c>
      <c r="D88" s="24">
        <v>1563353</v>
      </c>
      <c r="E88" s="24">
        <v>1563353</v>
      </c>
      <c r="F88" s="11"/>
      <c r="G88" s="187"/>
      <c r="H88" s="187">
        <v>-125527</v>
      </c>
      <c r="I88" s="11"/>
      <c r="J88" s="20">
        <f t="shared" si="21"/>
        <v>1437826</v>
      </c>
      <c r="K88" s="108">
        <v>1311282</v>
      </c>
      <c r="L88" s="3">
        <f t="shared" si="22"/>
        <v>126544</v>
      </c>
    </row>
    <row r="89" spans="1:12" x14ac:dyDescent="0.3">
      <c r="A89" s="319" t="s">
        <v>76</v>
      </c>
      <c r="B89" s="320"/>
      <c r="C89" s="321"/>
      <c r="D89" s="80">
        <f t="shared" ref="D89:L89" si="23">SUM(D33+D34+D49+D52+D62+D63+D77+D80+D81+D82+D83+D84+D85+D86+D87+D88)</f>
        <v>118207303</v>
      </c>
      <c r="E89" s="80">
        <v>117235517</v>
      </c>
      <c r="F89" s="80">
        <f t="shared" si="23"/>
        <v>-241295</v>
      </c>
      <c r="G89" s="80">
        <f t="shared" si="23"/>
        <v>-266638</v>
      </c>
      <c r="H89" s="80">
        <f t="shared" si="23"/>
        <v>-1168309</v>
      </c>
      <c r="I89" s="80">
        <f t="shared" si="23"/>
        <v>0</v>
      </c>
      <c r="J89" s="80">
        <f t="shared" si="23"/>
        <v>115559275</v>
      </c>
      <c r="K89" s="80">
        <f t="shared" si="23"/>
        <v>97266080</v>
      </c>
      <c r="L89" s="80">
        <f t="shared" si="23"/>
        <v>18293195</v>
      </c>
    </row>
    <row r="90" spans="1:12" x14ac:dyDescent="0.3">
      <c r="A90" s="254" t="s">
        <v>12</v>
      </c>
      <c r="B90" s="261" t="s">
        <v>23</v>
      </c>
      <c r="C90" s="2" t="s">
        <v>24</v>
      </c>
      <c r="D90" s="3">
        <v>4811583</v>
      </c>
      <c r="E90" s="3">
        <v>4921040</v>
      </c>
      <c r="F90" s="3">
        <v>-6878</v>
      </c>
      <c r="G90" s="3"/>
      <c r="H90" s="3"/>
      <c r="I90" s="3"/>
      <c r="J90" s="20">
        <f t="shared" ref="J90:J96" si="24">E90+F90+G90+H90+I90</f>
        <v>4914162</v>
      </c>
      <c r="K90" s="108">
        <v>4208552</v>
      </c>
      <c r="L90" s="3">
        <f t="shared" ref="L90:L96" si="25">J90-K90</f>
        <v>705610</v>
      </c>
    </row>
    <row r="91" spans="1:12" x14ac:dyDescent="0.3">
      <c r="A91" s="254"/>
      <c r="B91" s="261"/>
      <c r="C91" s="2" t="s">
        <v>25</v>
      </c>
      <c r="D91" s="3">
        <v>200000</v>
      </c>
      <c r="E91" s="3">
        <v>200000</v>
      </c>
      <c r="F91" s="3"/>
      <c r="G91" s="3"/>
      <c r="H91" s="3"/>
      <c r="I91" s="3"/>
      <c r="J91" s="20">
        <f t="shared" si="24"/>
        <v>200000</v>
      </c>
      <c r="K91" s="108">
        <v>200000</v>
      </c>
      <c r="L91" s="3">
        <f t="shared" si="25"/>
        <v>0</v>
      </c>
    </row>
    <row r="92" spans="1:12" x14ac:dyDescent="0.3">
      <c r="A92" s="254"/>
      <c r="B92" s="261"/>
      <c r="C92" s="2" t="s">
        <v>26</v>
      </c>
      <c r="D92" s="3">
        <v>10000</v>
      </c>
      <c r="E92" s="3">
        <v>10000</v>
      </c>
      <c r="F92" s="3"/>
      <c r="G92" s="3"/>
      <c r="H92" s="3"/>
      <c r="I92" s="3"/>
      <c r="J92" s="20">
        <f t="shared" si="24"/>
        <v>10000</v>
      </c>
      <c r="K92" s="108">
        <v>10000</v>
      </c>
      <c r="L92" s="3">
        <f t="shared" si="25"/>
        <v>0</v>
      </c>
    </row>
    <row r="93" spans="1:12" x14ac:dyDescent="0.3">
      <c r="A93" s="254"/>
      <c r="B93" s="261"/>
      <c r="C93" s="2" t="s">
        <v>27</v>
      </c>
      <c r="D93" s="3">
        <v>198000</v>
      </c>
      <c r="E93" s="3">
        <v>198000</v>
      </c>
      <c r="F93" s="3"/>
      <c r="G93" s="3"/>
      <c r="H93" s="3"/>
      <c r="I93" s="3"/>
      <c r="J93" s="20">
        <f t="shared" si="24"/>
        <v>198000</v>
      </c>
      <c r="K93" s="108">
        <v>137700</v>
      </c>
      <c r="L93" s="3">
        <f t="shared" si="25"/>
        <v>60300</v>
      </c>
    </row>
    <row r="94" spans="1:12" x14ac:dyDescent="0.3">
      <c r="A94" s="254"/>
      <c r="B94" s="261"/>
      <c r="C94" s="2" t="s">
        <v>28</v>
      </c>
      <c r="D94" s="3">
        <v>24000</v>
      </c>
      <c r="E94" s="3">
        <v>24000</v>
      </c>
      <c r="F94" s="3"/>
      <c r="G94" s="3"/>
      <c r="H94" s="3"/>
      <c r="I94" s="3"/>
      <c r="J94" s="20">
        <f t="shared" si="24"/>
        <v>24000</v>
      </c>
      <c r="K94" s="108">
        <v>24000</v>
      </c>
      <c r="L94" s="3">
        <f t="shared" si="25"/>
        <v>0</v>
      </c>
    </row>
    <row r="95" spans="1:12" x14ac:dyDescent="0.3">
      <c r="A95" s="254"/>
      <c r="B95" s="261"/>
      <c r="C95" s="2" t="s">
        <v>29</v>
      </c>
      <c r="D95" s="3">
        <v>75000</v>
      </c>
      <c r="E95" s="3">
        <v>253715</v>
      </c>
      <c r="F95" s="3"/>
      <c r="G95" s="3"/>
      <c r="H95" s="3"/>
      <c r="I95" s="3"/>
      <c r="J95" s="20">
        <f t="shared" si="24"/>
        <v>253715</v>
      </c>
      <c r="K95" s="108">
        <v>157715</v>
      </c>
      <c r="L95" s="3">
        <f t="shared" si="25"/>
        <v>96000</v>
      </c>
    </row>
    <row r="96" spans="1:12" x14ac:dyDescent="0.3">
      <c r="A96" s="254"/>
      <c r="B96" s="261"/>
      <c r="C96" s="2" t="s">
        <v>30</v>
      </c>
      <c r="D96" s="3">
        <v>0</v>
      </c>
      <c r="E96" s="3">
        <v>0</v>
      </c>
      <c r="F96" s="3">
        <v>6878</v>
      </c>
      <c r="G96" s="3"/>
      <c r="H96" s="3"/>
      <c r="I96" s="3"/>
      <c r="J96" s="20">
        <f t="shared" si="24"/>
        <v>6878</v>
      </c>
      <c r="K96" s="108">
        <v>6878</v>
      </c>
      <c r="L96" s="3">
        <f t="shared" si="25"/>
        <v>0</v>
      </c>
    </row>
    <row r="97" spans="1:12" x14ac:dyDescent="0.3">
      <c r="A97" s="254"/>
      <c r="B97" s="261"/>
      <c r="C97" s="6" t="s">
        <v>53</v>
      </c>
      <c r="D97" s="7">
        <f>SUM(D90:D96)</f>
        <v>5318583</v>
      </c>
      <c r="E97" s="7">
        <v>5606755</v>
      </c>
      <c r="F97" s="7">
        <f t="shared" ref="F97:L97" si="26">SUM(F90:F96)</f>
        <v>0</v>
      </c>
      <c r="G97" s="7">
        <f t="shared" si="26"/>
        <v>0</v>
      </c>
      <c r="H97" s="7">
        <f t="shared" si="26"/>
        <v>0</v>
      </c>
      <c r="I97" s="7">
        <f t="shared" si="26"/>
        <v>0</v>
      </c>
      <c r="J97" s="7">
        <f t="shared" si="26"/>
        <v>5606755</v>
      </c>
      <c r="K97" s="110">
        <f t="shared" si="26"/>
        <v>4744845</v>
      </c>
      <c r="L97" s="7">
        <f t="shared" si="26"/>
        <v>861910</v>
      </c>
    </row>
    <row r="98" spans="1:12" x14ac:dyDescent="0.3">
      <c r="A98" s="254"/>
      <c r="B98" s="261"/>
      <c r="C98" s="82" t="s">
        <v>31</v>
      </c>
      <c r="D98" s="83">
        <v>1035556</v>
      </c>
      <c r="E98" s="83">
        <v>1091378</v>
      </c>
      <c r="F98" s="83"/>
      <c r="G98" s="83"/>
      <c r="H98" s="83"/>
      <c r="I98" s="83"/>
      <c r="J98" s="84">
        <f t="shared" ref="J98:J108" si="27">E98+F98+G98+H98+I98</f>
        <v>1091378</v>
      </c>
      <c r="K98" s="111">
        <v>933000</v>
      </c>
      <c r="L98" s="85">
        <f t="shared" ref="L98:L108" si="28">J98-K98</f>
        <v>158378</v>
      </c>
    </row>
    <row r="99" spans="1:12" x14ac:dyDescent="0.3">
      <c r="A99" s="254"/>
      <c r="B99" s="261"/>
      <c r="C99" s="2" t="s">
        <v>32</v>
      </c>
      <c r="D99" s="3">
        <v>100000</v>
      </c>
      <c r="E99" s="3">
        <v>100000</v>
      </c>
      <c r="F99" s="3">
        <v>204254</v>
      </c>
      <c r="G99" s="3"/>
      <c r="H99" s="3"/>
      <c r="I99" s="3"/>
      <c r="J99" s="20">
        <f t="shared" si="27"/>
        <v>304254</v>
      </c>
      <c r="K99" s="108">
        <v>0</v>
      </c>
      <c r="L99" s="3">
        <f t="shared" si="28"/>
        <v>304254</v>
      </c>
    </row>
    <row r="100" spans="1:12" x14ac:dyDescent="0.3">
      <c r="A100" s="254"/>
      <c r="B100" s="261"/>
      <c r="C100" s="2" t="s">
        <v>33</v>
      </c>
      <c r="D100" s="3">
        <v>100000</v>
      </c>
      <c r="E100" s="3">
        <v>70000</v>
      </c>
      <c r="F100" s="3">
        <v>157485</v>
      </c>
      <c r="G100" s="3"/>
      <c r="H100" s="3"/>
      <c r="I100" s="3"/>
      <c r="J100" s="20">
        <f t="shared" si="27"/>
        <v>227485</v>
      </c>
      <c r="K100" s="108">
        <v>88697</v>
      </c>
      <c r="L100" s="3">
        <f t="shared" si="28"/>
        <v>138788</v>
      </c>
    </row>
    <row r="101" spans="1:12" x14ac:dyDescent="0.3">
      <c r="A101" s="254"/>
      <c r="B101" s="261"/>
      <c r="C101" s="2" t="s">
        <v>34</v>
      </c>
      <c r="D101" s="3">
        <v>210000</v>
      </c>
      <c r="E101" s="3">
        <v>210000</v>
      </c>
      <c r="F101" s="3">
        <v>-210000</v>
      </c>
      <c r="G101" s="3"/>
      <c r="H101" s="3"/>
      <c r="I101" s="3"/>
      <c r="J101" s="20">
        <f t="shared" si="27"/>
        <v>0</v>
      </c>
      <c r="K101" s="108">
        <v>0</v>
      </c>
      <c r="L101" s="3">
        <f t="shared" si="28"/>
        <v>0</v>
      </c>
    </row>
    <row r="102" spans="1:12" x14ac:dyDescent="0.3">
      <c r="A102" s="254"/>
      <c r="B102" s="261"/>
      <c r="C102" s="2" t="s">
        <v>35</v>
      </c>
      <c r="D102" s="3">
        <v>110000</v>
      </c>
      <c r="E102" s="3">
        <v>110000</v>
      </c>
      <c r="F102" s="3">
        <v>-110000</v>
      </c>
      <c r="G102" s="3"/>
      <c r="H102" s="3"/>
      <c r="I102" s="3"/>
      <c r="J102" s="20">
        <f t="shared" si="27"/>
        <v>0</v>
      </c>
      <c r="K102" s="108">
        <v>0</v>
      </c>
      <c r="L102" s="3">
        <f t="shared" si="28"/>
        <v>0</v>
      </c>
    </row>
    <row r="103" spans="1:12" x14ac:dyDescent="0.3">
      <c r="A103" s="254"/>
      <c r="B103" s="261"/>
      <c r="C103" s="2" t="s">
        <v>36</v>
      </c>
      <c r="D103" s="3">
        <v>500000</v>
      </c>
      <c r="E103" s="3">
        <v>499100</v>
      </c>
      <c r="F103" s="3"/>
      <c r="G103" s="3"/>
      <c r="H103" s="3"/>
      <c r="I103" s="3"/>
      <c r="J103" s="20">
        <f t="shared" si="27"/>
        <v>499100</v>
      </c>
      <c r="K103" s="108">
        <v>398950</v>
      </c>
      <c r="L103" s="3">
        <f t="shared" si="28"/>
        <v>100150</v>
      </c>
    </row>
    <row r="104" spans="1:12" x14ac:dyDescent="0.3">
      <c r="A104" s="254"/>
      <c r="B104" s="261"/>
      <c r="C104" s="2" t="s">
        <v>38</v>
      </c>
      <c r="D104" s="3">
        <v>140000</v>
      </c>
      <c r="E104" s="3">
        <v>135380</v>
      </c>
      <c r="F104" s="3">
        <v>-41739</v>
      </c>
      <c r="G104" s="3"/>
      <c r="H104" s="3"/>
      <c r="I104" s="3"/>
      <c r="J104" s="20">
        <f t="shared" si="27"/>
        <v>93641</v>
      </c>
      <c r="K104" s="108">
        <v>2241</v>
      </c>
      <c r="L104" s="3">
        <f t="shared" si="28"/>
        <v>91400</v>
      </c>
    </row>
    <row r="105" spans="1:12" x14ac:dyDescent="0.3">
      <c r="A105" s="254"/>
      <c r="B105" s="261"/>
      <c r="C105" s="2" t="s">
        <v>40</v>
      </c>
      <c r="D105" s="3">
        <v>16800</v>
      </c>
      <c r="E105" s="3">
        <v>20200</v>
      </c>
      <c r="F105" s="3"/>
      <c r="G105" s="3"/>
      <c r="H105" s="3"/>
      <c r="I105" s="3"/>
      <c r="J105" s="20">
        <f t="shared" si="27"/>
        <v>20200</v>
      </c>
      <c r="K105" s="108">
        <v>10200</v>
      </c>
      <c r="L105" s="3">
        <f t="shared" si="28"/>
        <v>10000</v>
      </c>
    </row>
    <row r="106" spans="1:12" x14ac:dyDescent="0.3">
      <c r="A106" s="254"/>
      <c r="B106" s="261"/>
      <c r="C106" s="2" t="s">
        <v>41</v>
      </c>
      <c r="D106" s="3">
        <v>80000</v>
      </c>
      <c r="E106" s="3">
        <v>117280</v>
      </c>
      <c r="F106" s="3"/>
      <c r="G106" s="3"/>
      <c r="H106" s="3"/>
      <c r="I106" s="3"/>
      <c r="J106" s="20">
        <f t="shared" si="27"/>
        <v>117280</v>
      </c>
      <c r="K106" s="108">
        <v>88760</v>
      </c>
      <c r="L106" s="3">
        <f t="shared" si="28"/>
        <v>28520</v>
      </c>
    </row>
    <row r="107" spans="1:12" x14ac:dyDescent="0.3">
      <c r="A107" s="254"/>
      <c r="B107" s="261"/>
      <c r="C107" s="2" t="s">
        <v>42</v>
      </c>
      <c r="D107" s="3">
        <v>240000</v>
      </c>
      <c r="E107" s="3">
        <v>240000</v>
      </c>
      <c r="F107" s="3"/>
      <c r="G107" s="3"/>
      <c r="H107" s="3"/>
      <c r="I107" s="3"/>
      <c r="J107" s="20">
        <f t="shared" si="27"/>
        <v>240000</v>
      </c>
      <c r="K107" s="108">
        <v>162210</v>
      </c>
      <c r="L107" s="3">
        <f t="shared" si="28"/>
        <v>77790</v>
      </c>
    </row>
    <row r="108" spans="1:12" x14ac:dyDescent="0.3">
      <c r="A108" s="254"/>
      <c r="B108" s="261"/>
      <c r="C108" s="2" t="s">
        <v>44</v>
      </c>
      <c r="D108" s="3">
        <v>200600</v>
      </c>
      <c r="E108" s="3">
        <v>195440</v>
      </c>
      <c r="F108" s="3"/>
      <c r="G108" s="3"/>
      <c r="H108" s="3"/>
      <c r="I108" s="3"/>
      <c r="J108" s="20">
        <f t="shared" si="27"/>
        <v>195440</v>
      </c>
      <c r="K108" s="108">
        <v>56118</v>
      </c>
      <c r="L108" s="3">
        <f t="shared" si="28"/>
        <v>139322</v>
      </c>
    </row>
    <row r="109" spans="1:12" x14ac:dyDescent="0.3">
      <c r="A109" s="254"/>
      <c r="B109" s="261"/>
      <c r="C109" s="6" t="s">
        <v>49</v>
      </c>
      <c r="D109" s="7">
        <f>SUM(D99:D108)</f>
        <v>1697400</v>
      </c>
      <c r="E109" s="7">
        <v>1697400</v>
      </c>
      <c r="F109" s="7">
        <f t="shared" ref="F109:L109" si="29">SUM(F99:F108)</f>
        <v>0</v>
      </c>
      <c r="G109" s="7">
        <f t="shared" si="29"/>
        <v>0</v>
      </c>
      <c r="H109" s="7">
        <f t="shared" si="29"/>
        <v>0</v>
      </c>
      <c r="I109" s="7">
        <f t="shared" si="29"/>
        <v>0</v>
      </c>
      <c r="J109" s="7">
        <f t="shared" si="29"/>
        <v>1697400</v>
      </c>
      <c r="K109" s="110">
        <f t="shared" si="29"/>
        <v>807176</v>
      </c>
      <c r="L109" s="7">
        <f t="shared" si="29"/>
        <v>890224</v>
      </c>
    </row>
    <row r="110" spans="1:12" x14ac:dyDescent="0.3">
      <c r="A110" s="262" t="s">
        <v>62</v>
      </c>
      <c r="B110" s="264" t="s">
        <v>23</v>
      </c>
      <c r="C110" s="15" t="s">
        <v>29</v>
      </c>
      <c r="D110" s="24">
        <v>111600</v>
      </c>
      <c r="E110" s="24">
        <v>111600</v>
      </c>
      <c r="F110" s="11"/>
      <c r="G110" s="187">
        <v>-44000</v>
      </c>
      <c r="H110" s="187"/>
      <c r="I110" s="11"/>
      <c r="J110" s="20">
        <f t="shared" ref="J110:J113" si="30">E110+F110+G110+H110+I110</f>
        <v>67600</v>
      </c>
      <c r="K110" s="108">
        <v>62300</v>
      </c>
      <c r="L110" s="3">
        <f t="shared" ref="L110:L113" si="31">J110-K110</f>
        <v>5300</v>
      </c>
    </row>
    <row r="111" spans="1:12" x14ac:dyDescent="0.3">
      <c r="A111" s="263"/>
      <c r="B111" s="265"/>
      <c r="C111" s="15" t="s">
        <v>31</v>
      </c>
      <c r="D111" s="24">
        <v>20739</v>
      </c>
      <c r="E111" s="24">
        <v>20739</v>
      </c>
      <c r="F111" s="11"/>
      <c r="G111" s="187">
        <v>-8089</v>
      </c>
      <c r="H111" s="187"/>
      <c r="I111" s="11"/>
      <c r="J111" s="20">
        <f t="shared" si="30"/>
        <v>12650</v>
      </c>
      <c r="K111" s="108">
        <v>11722</v>
      </c>
      <c r="L111" s="3">
        <f t="shared" si="31"/>
        <v>928</v>
      </c>
    </row>
    <row r="112" spans="1:12" x14ac:dyDescent="0.3">
      <c r="A112" s="262" t="s">
        <v>63</v>
      </c>
      <c r="B112" s="264" t="s">
        <v>23</v>
      </c>
      <c r="C112" s="15" t="s">
        <v>24</v>
      </c>
      <c r="D112" s="24">
        <v>1460272</v>
      </c>
      <c r="E112" s="24">
        <v>1460272</v>
      </c>
      <c r="F112" s="11"/>
      <c r="G112" s="187"/>
      <c r="H112" s="187">
        <v>43958</v>
      </c>
      <c r="I112" s="11"/>
      <c r="J112" s="20">
        <f t="shared" si="30"/>
        <v>1504230</v>
      </c>
      <c r="K112" s="108">
        <v>1378383</v>
      </c>
      <c r="L112" s="3">
        <f t="shared" si="31"/>
        <v>125847</v>
      </c>
    </row>
    <row r="113" spans="1:12" x14ac:dyDescent="0.3">
      <c r="A113" s="263"/>
      <c r="B113" s="265"/>
      <c r="C113" s="15" t="s">
        <v>31</v>
      </c>
      <c r="D113" s="24">
        <v>272168</v>
      </c>
      <c r="E113" s="24">
        <v>272168</v>
      </c>
      <c r="F113" s="11"/>
      <c r="G113" s="187"/>
      <c r="H113" s="187">
        <v>8572</v>
      </c>
      <c r="I113" s="11"/>
      <c r="J113" s="20">
        <f t="shared" si="30"/>
        <v>280740</v>
      </c>
      <c r="K113" s="108">
        <v>258716</v>
      </c>
      <c r="L113" s="3">
        <f t="shared" si="31"/>
        <v>22024</v>
      </c>
    </row>
    <row r="114" spans="1:12" x14ac:dyDescent="0.3">
      <c r="A114" s="319" t="s">
        <v>77</v>
      </c>
      <c r="B114" s="320"/>
      <c r="C114" s="321"/>
      <c r="D114" s="80">
        <f>SUM(D97+D98+D109+D110+D111+D112+D113)</f>
        <v>9916318</v>
      </c>
      <c r="E114" s="80">
        <v>10260312</v>
      </c>
      <c r="F114" s="80">
        <f t="shared" ref="F114:L114" si="32">SUM(F97+F98+F109+F110+F111+F112+F113)</f>
        <v>0</v>
      </c>
      <c r="G114" s="80">
        <f t="shared" si="32"/>
        <v>-52089</v>
      </c>
      <c r="H114" s="80">
        <f t="shared" si="32"/>
        <v>52530</v>
      </c>
      <c r="I114" s="80">
        <f t="shared" si="32"/>
        <v>0</v>
      </c>
      <c r="J114" s="80">
        <f t="shared" si="32"/>
        <v>10260753</v>
      </c>
      <c r="K114" s="112">
        <f t="shared" si="32"/>
        <v>8196142</v>
      </c>
      <c r="L114" s="80">
        <f t="shared" si="32"/>
        <v>2064611</v>
      </c>
    </row>
    <row r="115" spans="1:12" x14ac:dyDescent="0.3">
      <c r="A115" s="254" t="s">
        <v>13</v>
      </c>
      <c r="B115" s="261" t="s">
        <v>23</v>
      </c>
      <c r="C115" s="2" t="s">
        <v>24</v>
      </c>
      <c r="D115" s="3">
        <v>4871210</v>
      </c>
      <c r="E115" s="3">
        <v>5014296</v>
      </c>
      <c r="F115" s="3">
        <v>-69902</v>
      </c>
      <c r="G115" s="3"/>
      <c r="H115" s="3"/>
      <c r="I115" s="3"/>
      <c r="J115" s="20">
        <f t="shared" ref="J115:J120" si="33">E115+F115+G115+H115+I115</f>
        <v>4944394</v>
      </c>
      <c r="K115" s="108">
        <v>4369883</v>
      </c>
      <c r="L115" s="3">
        <f t="shared" ref="L115:L120" si="34">J115-K115</f>
        <v>574511</v>
      </c>
    </row>
    <row r="116" spans="1:12" x14ac:dyDescent="0.3">
      <c r="A116" s="254"/>
      <c r="B116" s="261"/>
      <c r="C116" s="2" t="s">
        <v>25</v>
      </c>
      <c r="D116" s="3">
        <v>200000</v>
      </c>
      <c r="E116" s="3">
        <v>200000</v>
      </c>
      <c r="F116" s="3"/>
      <c r="G116" s="3"/>
      <c r="H116" s="3"/>
      <c r="I116" s="3"/>
      <c r="J116" s="20">
        <f t="shared" si="33"/>
        <v>200000</v>
      </c>
      <c r="K116" s="108">
        <v>200000</v>
      </c>
      <c r="L116" s="3">
        <f t="shared" si="34"/>
        <v>0</v>
      </c>
    </row>
    <row r="117" spans="1:12" x14ac:dyDescent="0.3">
      <c r="A117" s="254"/>
      <c r="B117" s="261"/>
      <c r="C117" s="2" t="s">
        <v>26</v>
      </c>
      <c r="D117" s="3">
        <v>10000</v>
      </c>
      <c r="E117" s="3">
        <v>10000</v>
      </c>
      <c r="F117" s="3"/>
      <c r="G117" s="3"/>
      <c r="H117" s="3"/>
      <c r="I117" s="3"/>
      <c r="J117" s="20">
        <f t="shared" si="33"/>
        <v>10000</v>
      </c>
      <c r="K117" s="108">
        <v>10000</v>
      </c>
      <c r="L117" s="3">
        <f t="shared" si="34"/>
        <v>0</v>
      </c>
    </row>
    <row r="118" spans="1:12" x14ac:dyDescent="0.3">
      <c r="A118" s="254"/>
      <c r="B118" s="261"/>
      <c r="C118" s="2" t="s">
        <v>28</v>
      </c>
      <c r="D118" s="3">
        <v>24000</v>
      </c>
      <c r="E118" s="3">
        <v>24000</v>
      </c>
      <c r="F118" s="3"/>
      <c r="G118" s="3"/>
      <c r="H118" s="3"/>
      <c r="I118" s="3"/>
      <c r="J118" s="20">
        <f t="shared" si="33"/>
        <v>24000</v>
      </c>
      <c r="K118" s="108">
        <v>24000</v>
      </c>
      <c r="L118" s="3">
        <f t="shared" si="34"/>
        <v>0</v>
      </c>
    </row>
    <row r="119" spans="1:12" x14ac:dyDescent="0.3">
      <c r="A119" s="254"/>
      <c r="B119" s="261"/>
      <c r="C119" s="2" t="s">
        <v>29</v>
      </c>
      <c r="D119" s="3">
        <v>75000</v>
      </c>
      <c r="E119" s="3">
        <v>133601</v>
      </c>
      <c r="F119" s="3">
        <v>63016</v>
      </c>
      <c r="G119" s="3"/>
      <c r="H119" s="3"/>
      <c r="I119" s="3"/>
      <c r="J119" s="20">
        <f t="shared" si="33"/>
        <v>196617</v>
      </c>
      <c r="K119" s="108">
        <v>121617</v>
      </c>
      <c r="L119" s="3">
        <f t="shared" si="34"/>
        <v>75000</v>
      </c>
    </row>
    <row r="120" spans="1:12" x14ac:dyDescent="0.3">
      <c r="A120" s="254"/>
      <c r="B120" s="261"/>
      <c r="C120" s="2" t="s">
        <v>30</v>
      </c>
      <c r="D120" s="3">
        <v>0</v>
      </c>
      <c r="E120" s="3">
        <v>0</v>
      </c>
      <c r="F120" s="3">
        <v>6886</v>
      </c>
      <c r="G120" s="3"/>
      <c r="H120" s="3"/>
      <c r="I120" s="3"/>
      <c r="J120" s="20">
        <f t="shared" si="33"/>
        <v>6886</v>
      </c>
      <c r="K120" s="108">
        <v>6886</v>
      </c>
      <c r="L120" s="3">
        <f t="shared" si="34"/>
        <v>0</v>
      </c>
    </row>
    <row r="121" spans="1:12" x14ac:dyDescent="0.3">
      <c r="A121" s="254"/>
      <c r="B121" s="261"/>
      <c r="C121" s="6" t="s">
        <v>53</v>
      </c>
      <c r="D121" s="7">
        <f>SUM(D115:D120)</f>
        <v>5180210</v>
      </c>
      <c r="E121" s="7">
        <v>5381897</v>
      </c>
      <c r="F121" s="7">
        <f t="shared" ref="F121:L121" si="35">SUM(F115:F120)</f>
        <v>0</v>
      </c>
      <c r="G121" s="7">
        <f t="shared" si="35"/>
        <v>0</v>
      </c>
      <c r="H121" s="7">
        <f t="shared" si="35"/>
        <v>0</v>
      </c>
      <c r="I121" s="7">
        <f t="shared" si="35"/>
        <v>0</v>
      </c>
      <c r="J121" s="7">
        <f t="shared" si="35"/>
        <v>5381897</v>
      </c>
      <c r="K121" s="110">
        <f t="shared" si="35"/>
        <v>4732386</v>
      </c>
      <c r="L121" s="7">
        <f t="shared" si="35"/>
        <v>649511</v>
      </c>
    </row>
    <row r="122" spans="1:12" x14ac:dyDescent="0.3">
      <c r="A122" s="254"/>
      <c r="B122" s="261"/>
      <c r="C122" s="82" t="s">
        <v>31</v>
      </c>
      <c r="D122" s="83">
        <v>1046402</v>
      </c>
      <c r="E122" s="83">
        <v>1085449</v>
      </c>
      <c r="F122" s="83"/>
      <c r="G122" s="83"/>
      <c r="H122" s="83"/>
      <c r="I122" s="83"/>
      <c r="J122" s="84">
        <f t="shared" ref="J122:J130" si="36">E122+F122+G122+H122+I122</f>
        <v>1085449</v>
      </c>
      <c r="K122" s="111">
        <v>956863</v>
      </c>
      <c r="L122" s="85">
        <f t="shared" ref="L122:L130" si="37">J122-K122</f>
        <v>128586</v>
      </c>
    </row>
    <row r="123" spans="1:12" x14ac:dyDescent="0.3">
      <c r="A123" s="254"/>
      <c r="B123" s="261"/>
      <c r="C123" s="2" t="s">
        <v>32</v>
      </c>
      <c r="D123" s="3">
        <v>50000</v>
      </c>
      <c r="E123" s="3">
        <v>50000</v>
      </c>
      <c r="F123" s="3"/>
      <c r="G123" s="3"/>
      <c r="H123" s="3"/>
      <c r="I123" s="3"/>
      <c r="J123" s="20">
        <f t="shared" si="36"/>
        <v>50000</v>
      </c>
      <c r="K123" s="108">
        <v>0</v>
      </c>
      <c r="L123" s="3">
        <f t="shared" si="37"/>
        <v>50000</v>
      </c>
    </row>
    <row r="124" spans="1:12" x14ac:dyDescent="0.3">
      <c r="A124" s="254"/>
      <c r="B124" s="261"/>
      <c r="C124" s="2" t="s">
        <v>33</v>
      </c>
      <c r="D124" s="3">
        <v>100000</v>
      </c>
      <c r="E124" s="3">
        <v>70000</v>
      </c>
      <c r="F124" s="3"/>
      <c r="G124" s="3"/>
      <c r="H124" s="3"/>
      <c r="I124" s="3"/>
      <c r="J124" s="20">
        <f t="shared" si="36"/>
        <v>70000</v>
      </c>
      <c r="K124" s="108">
        <v>0</v>
      </c>
      <c r="L124" s="3">
        <f t="shared" si="37"/>
        <v>70000</v>
      </c>
    </row>
    <row r="125" spans="1:12" x14ac:dyDescent="0.3">
      <c r="A125" s="254"/>
      <c r="B125" s="261"/>
      <c r="C125" s="2" t="s">
        <v>34</v>
      </c>
      <c r="D125" s="3">
        <v>150000</v>
      </c>
      <c r="E125" s="3">
        <v>116000</v>
      </c>
      <c r="F125" s="3"/>
      <c r="G125" s="3"/>
      <c r="H125" s="3"/>
      <c r="I125" s="3"/>
      <c r="J125" s="20">
        <f t="shared" si="36"/>
        <v>116000</v>
      </c>
      <c r="K125" s="108">
        <v>0</v>
      </c>
      <c r="L125" s="3">
        <f t="shared" si="37"/>
        <v>116000</v>
      </c>
    </row>
    <row r="126" spans="1:12" x14ac:dyDescent="0.3">
      <c r="A126" s="254"/>
      <c r="B126" s="261"/>
      <c r="C126" s="2" t="s">
        <v>38</v>
      </c>
      <c r="D126" s="3">
        <v>50000</v>
      </c>
      <c r="E126" s="3">
        <v>46600</v>
      </c>
      <c r="F126" s="3"/>
      <c r="G126" s="3"/>
      <c r="H126" s="3"/>
      <c r="I126" s="3"/>
      <c r="J126" s="20">
        <f t="shared" si="36"/>
        <v>46600</v>
      </c>
      <c r="K126" s="108">
        <v>0</v>
      </c>
      <c r="L126" s="3">
        <f t="shared" si="37"/>
        <v>46600</v>
      </c>
    </row>
    <row r="127" spans="1:12" x14ac:dyDescent="0.3">
      <c r="A127" s="254"/>
      <c r="B127" s="261"/>
      <c r="C127" s="2" t="s">
        <v>40</v>
      </c>
      <c r="D127" s="3">
        <v>16800</v>
      </c>
      <c r="E127" s="3">
        <v>20200</v>
      </c>
      <c r="F127" s="3"/>
      <c r="G127" s="3"/>
      <c r="H127" s="3"/>
      <c r="I127" s="3"/>
      <c r="J127" s="20">
        <f t="shared" si="36"/>
        <v>20200</v>
      </c>
      <c r="K127" s="108">
        <v>10200</v>
      </c>
      <c r="L127" s="3">
        <f t="shared" si="37"/>
        <v>10000</v>
      </c>
    </row>
    <row r="128" spans="1:12" x14ac:dyDescent="0.3">
      <c r="A128" s="254"/>
      <c r="B128" s="261"/>
      <c r="C128" s="2" t="s">
        <v>41</v>
      </c>
      <c r="D128" s="3">
        <v>0</v>
      </c>
      <c r="E128" s="3">
        <v>70280</v>
      </c>
      <c r="F128" s="3"/>
      <c r="G128" s="3"/>
      <c r="H128" s="3"/>
      <c r="I128" s="3"/>
      <c r="J128" s="20">
        <f t="shared" si="36"/>
        <v>70280</v>
      </c>
      <c r="K128" s="108">
        <v>41760</v>
      </c>
      <c r="L128" s="3">
        <f t="shared" si="37"/>
        <v>28520</v>
      </c>
    </row>
    <row r="129" spans="1:12" x14ac:dyDescent="0.3">
      <c r="A129" s="254"/>
      <c r="B129" s="261"/>
      <c r="C129" s="2" t="s">
        <v>42</v>
      </c>
      <c r="D129" s="3">
        <v>240000</v>
      </c>
      <c r="E129" s="3">
        <v>233720</v>
      </c>
      <c r="F129" s="3"/>
      <c r="G129" s="3"/>
      <c r="H129" s="3"/>
      <c r="I129" s="3"/>
      <c r="J129" s="20">
        <f t="shared" si="36"/>
        <v>233720</v>
      </c>
      <c r="K129" s="108">
        <v>133400</v>
      </c>
      <c r="L129" s="3">
        <f t="shared" si="37"/>
        <v>100320</v>
      </c>
    </row>
    <row r="130" spans="1:12" x14ac:dyDescent="0.3">
      <c r="A130" s="254"/>
      <c r="B130" s="261"/>
      <c r="C130" s="2" t="s">
        <v>44</v>
      </c>
      <c r="D130" s="3">
        <v>94500</v>
      </c>
      <c r="E130" s="3">
        <v>94500</v>
      </c>
      <c r="F130" s="3"/>
      <c r="G130" s="3"/>
      <c r="H130" s="3"/>
      <c r="I130" s="3"/>
      <c r="J130" s="20">
        <f t="shared" si="36"/>
        <v>94500</v>
      </c>
      <c r="K130" s="108">
        <v>11618</v>
      </c>
      <c r="L130" s="3">
        <f t="shared" si="37"/>
        <v>82882</v>
      </c>
    </row>
    <row r="131" spans="1:12" x14ac:dyDescent="0.3">
      <c r="A131" s="254"/>
      <c r="B131" s="261"/>
      <c r="C131" s="6" t="s">
        <v>49</v>
      </c>
      <c r="D131" s="7">
        <f>SUM(D123:D130)</f>
        <v>701300</v>
      </c>
      <c r="E131" s="7">
        <v>701300</v>
      </c>
      <c r="F131" s="7">
        <f t="shared" ref="F131:L131" si="38">SUM(F123:F130)</f>
        <v>0</v>
      </c>
      <c r="G131" s="7">
        <f t="shared" si="38"/>
        <v>0</v>
      </c>
      <c r="H131" s="7">
        <f t="shared" si="38"/>
        <v>0</v>
      </c>
      <c r="I131" s="7">
        <f t="shared" si="38"/>
        <v>0</v>
      </c>
      <c r="J131" s="7">
        <f t="shared" si="38"/>
        <v>701300</v>
      </c>
      <c r="K131" s="110">
        <f t="shared" si="38"/>
        <v>196978</v>
      </c>
      <c r="L131" s="7">
        <f t="shared" si="38"/>
        <v>504322</v>
      </c>
    </row>
    <row r="132" spans="1:12" x14ac:dyDescent="0.3">
      <c r="A132" s="262" t="s">
        <v>64</v>
      </c>
      <c r="B132" s="264" t="s">
        <v>23</v>
      </c>
      <c r="C132" s="15" t="s">
        <v>29</v>
      </c>
      <c r="D132" s="24">
        <v>39600</v>
      </c>
      <c r="E132" s="24">
        <v>39600</v>
      </c>
      <c r="F132" s="11"/>
      <c r="G132" s="187">
        <v>0</v>
      </c>
      <c r="H132" s="187"/>
      <c r="I132" s="11"/>
      <c r="J132" s="20">
        <f t="shared" ref="J132:J135" si="39">E132+F132+G132+H132+I132</f>
        <v>39600</v>
      </c>
      <c r="K132" s="108">
        <v>36300</v>
      </c>
      <c r="L132" s="3">
        <f t="shared" ref="L132:L135" si="40">J132-K132</f>
        <v>3300</v>
      </c>
    </row>
    <row r="133" spans="1:12" x14ac:dyDescent="0.3">
      <c r="A133" s="263"/>
      <c r="B133" s="265"/>
      <c r="C133" s="15" t="s">
        <v>31</v>
      </c>
      <c r="D133" s="24">
        <v>7359</v>
      </c>
      <c r="E133" s="24">
        <v>7359</v>
      </c>
      <c r="F133" s="11"/>
      <c r="G133" s="187">
        <v>32</v>
      </c>
      <c r="H133" s="187"/>
      <c r="I133" s="11"/>
      <c r="J133" s="20">
        <f t="shared" si="39"/>
        <v>7391</v>
      </c>
      <c r="K133" s="108">
        <v>6815</v>
      </c>
      <c r="L133" s="3">
        <f t="shared" si="40"/>
        <v>576</v>
      </c>
    </row>
    <row r="134" spans="1:12" x14ac:dyDescent="0.3">
      <c r="A134" s="262" t="s">
        <v>65</v>
      </c>
      <c r="B134" s="264" t="s">
        <v>23</v>
      </c>
      <c r="C134" s="15" t="s">
        <v>24</v>
      </c>
      <c r="D134" s="24">
        <v>1357158</v>
      </c>
      <c r="E134" s="24">
        <v>1357158</v>
      </c>
      <c r="F134" s="11"/>
      <c r="G134" s="187"/>
      <c r="H134" s="187">
        <v>1075</v>
      </c>
      <c r="I134" s="11"/>
      <c r="J134" s="20">
        <f t="shared" si="39"/>
        <v>1358233</v>
      </c>
      <c r="K134" s="108">
        <v>1245047</v>
      </c>
      <c r="L134" s="3">
        <f t="shared" si="40"/>
        <v>113186</v>
      </c>
    </row>
    <row r="135" spans="1:12" x14ac:dyDescent="0.3">
      <c r="A135" s="263"/>
      <c r="B135" s="265"/>
      <c r="C135" s="15" t="s">
        <v>31</v>
      </c>
      <c r="D135" s="24">
        <v>253327</v>
      </c>
      <c r="E135" s="24">
        <v>253327</v>
      </c>
      <c r="F135" s="11"/>
      <c r="G135" s="187"/>
      <c r="H135" s="187">
        <v>206</v>
      </c>
      <c r="I135" s="11"/>
      <c r="J135" s="20">
        <f t="shared" si="39"/>
        <v>253533</v>
      </c>
      <c r="K135" s="108">
        <v>233725</v>
      </c>
      <c r="L135" s="3">
        <f t="shared" si="40"/>
        <v>19808</v>
      </c>
    </row>
    <row r="136" spans="1:12" x14ac:dyDescent="0.3">
      <c r="A136" s="319" t="s">
        <v>78</v>
      </c>
      <c r="B136" s="320"/>
      <c r="C136" s="321"/>
      <c r="D136" s="80">
        <f>SUM(D121+D122+D131+D132+D133+D134+D135)</f>
        <v>8585356</v>
      </c>
      <c r="E136" s="80">
        <v>8826090</v>
      </c>
      <c r="F136" s="80">
        <f t="shared" ref="F136:L136" si="41">SUM(F121+F122+F131+F132+F133+F134+F135)</f>
        <v>0</v>
      </c>
      <c r="G136" s="80">
        <f t="shared" si="41"/>
        <v>32</v>
      </c>
      <c r="H136" s="80">
        <f t="shared" si="41"/>
        <v>1281</v>
      </c>
      <c r="I136" s="80">
        <f t="shared" si="41"/>
        <v>0</v>
      </c>
      <c r="J136" s="80">
        <f t="shared" si="41"/>
        <v>8827403</v>
      </c>
      <c r="K136" s="112">
        <f t="shared" si="41"/>
        <v>7408114</v>
      </c>
      <c r="L136" s="80">
        <f t="shared" si="41"/>
        <v>1419289</v>
      </c>
    </row>
    <row r="137" spans="1:12" x14ac:dyDescent="0.3">
      <c r="A137" s="254" t="s">
        <v>14</v>
      </c>
      <c r="B137" s="261" t="s">
        <v>23</v>
      </c>
      <c r="C137" s="2" t="s">
        <v>24</v>
      </c>
      <c r="D137" s="3">
        <v>4756797</v>
      </c>
      <c r="E137" s="3">
        <v>4966659</v>
      </c>
      <c r="F137" s="3">
        <v>-6878</v>
      </c>
      <c r="G137" s="3"/>
      <c r="H137" s="3"/>
      <c r="I137" s="3"/>
      <c r="J137" s="20">
        <f t="shared" ref="J137:J143" si="42">E137+F137+G137+H137+I137</f>
        <v>4959781</v>
      </c>
      <c r="K137" s="108">
        <v>4191997</v>
      </c>
      <c r="L137" s="3">
        <f t="shared" ref="L137:L143" si="43">J137-K137</f>
        <v>767784</v>
      </c>
    </row>
    <row r="138" spans="1:12" x14ac:dyDescent="0.3">
      <c r="A138" s="254"/>
      <c r="B138" s="261"/>
      <c r="C138" s="2" t="s">
        <v>25</v>
      </c>
      <c r="D138" s="3">
        <v>200000</v>
      </c>
      <c r="E138" s="3">
        <v>200000</v>
      </c>
      <c r="F138" s="3"/>
      <c r="G138" s="3"/>
      <c r="H138" s="3"/>
      <c r="I138" s="3"/>
      <c r="J138" s="20">
        <f t="shared" si="42"/>
        <v>200000</v>
      </c>
      <c r="K138" s="108">
        <v>200000</v>
      </c>
      <c r="L138" s="3">
        <f t="shared" si="43"/>
        <v>0</v>
      </c>
    </row>
    <row r="139" spans="1:12" x14ac:dyDescent="0.3">
      <c r="A139" s="254"/>
      <c r="B139" s="261"/>
      <c r="C139" s="2" t="s">
        <v>26</v>
      </c>
      <c r="D139" s="3">
        <v>10000</v>
      </c>
      <c r="E139" s="3">
        <v>10000</v>
      </c>
      <c r="F139" s="3"/>
      <c r="G139" s="3"/>
      <c r="H139" s="3"/>
      <c r="I139" s="3"/>
      <c r="J139" s="20">
        <f t="shared" si="42"/>
        <v>10000</v>
      </c>
      <c r="K139" s="108">
        <v>10000</v>
      </c>
      <c r="L139" s="3">
        <f t="shared" si="43"/>
        <v>0</v>
      </c>
    </row>
    <row r="140" spans="1:12" x14ac:dyDescent="0.3">
      <c r="A140" s="254"/>
      <c r="B140" s="261"/>
      <c r="C140" s="2" t="s">
        <v>27</v>
      </c>
      <c r="D140" s="3">
        <v>255000</v>
      </c>
      <c r="E140" s="3">
        <v>255000</v>
      </c>
      <c r="F140" s="3"/>
      <c r="G140" s="3"/>
      <c r="H140" s="3"/>
      <c r="I140" s="3"/>
      <c r="J140" s="20">
        <f t="shared" si="42"/>
        <v>255000</v>
      </c>
      <c r="K140" s="108">
        <v>190360</v>
      </c>
      <c r="L140" s="3">
        <f t="shared" si="43"/>
        <v>64640</v>
      </c>
    </row>
    <row r="141" spans="1:12" x14ac:dyDescent="0.3">
      <c r="A141" s="254"/>
      <c r="B141" s="261"/>
      <c r="C141" s="2" t="s">
        <v>28</v>
      </c>
      <c r="D141" s="3">
        <v>24000</v>
      </c>
      <c r="E141" s="3">
        <v>24000</v>
      </c>
      <c r="F141" s="3"/>
      <c r="G141" s="3"/>
      <c r="H141" s="3"/>
      <c r="I141" s="3"/>
      <c r="J141" s="20">
        <f t="shared" si="42"/>
        <v>24000</v>
      </c>
      <c r="K141" s="108">
        <v>24000</v>
      </c>
      <c r="L141" s="3">
        <f t="shared" si="43"/>
        <v>0</v>
      </c>
    </row>
    <row r="142" spans="1:12" x14ac:dyDescent="0.3">
      <c r="A142" s="254"/>
      <c r="B142" s="261"/>
      <c r="C142" s="2" t="s">
        <v>29</v>
      </c>
      <c r="D142" s="3">
        <v>0</v>
      </c>
      <c r="E142" s="3">
        <v>128307</v>
      </c>
      <c r="F142" s="3"/>
      <c r="G142" s="3"/>
      <c r="H142" s="3"/>
      <c r="I142" s="3"/>
      <c r="J142" s="20">
        <f t="shared" si="42"/>
        <v>128307</v>
      </c>
      <c r="K142" s="108">
        <v>111887</v>
      </c>
      <c r="L142" s="3">
        <f t="shared" si="43"/>
        <v>16420</v>
      </c>
    </row>
    <row r="143" spans="1:12" x14ac:dyDescent="0.3">
      <c r="A143" s="254"/>
      <c r="B143" s="261"/>
      <c r="C143" s="2" t="s">
        <v>30</v>
      </c>
      <c r="D143" s="3">
        <v>0</v>
      </c>
      <c r="E143" s="3">
        <v>0</v>
      </c>
      <c r="F143" s="3">
        <v>6878</v>
      </c>
      <c r="G143" s="3"/>
      <c r="H143" s="3"/>
      <c r="I143" s="3"/>
      <c r="J143" s="20">
        <f t="shared" si="42"/>
        <v>6878</v>
      </c>
      <c r="K143" s="108">
        <v>6878</v>
      </c>
      <c r="L143" s="3">
        <f t="shared" si="43"/>
        <v>0</v>
      </c>
    </row>
    <row r="144" spans="1:12" x14ac:dyDescent="0.3">
      <c r="A144" s="254"/>
      <c r="B144" s="261"/>
      <c r="C144" s="6" t="s">
        <v>53</v>
      </c>
      <c r="D144" s="7">
        <f>SUM(D137:D143)</f>
        <v>5245797</v>
      </c>
      <c r="E144" s="7">
        <v>5583966</v>
      </c>
      <c r="F144" s="7">
        <f t="shared" ref="F144:L144" si="44">SUM(F137:F143)</f>
        <v>0</v>
      </c>
      <c r="G144" s="7">
        <f t="shared" si="44"/>
        <v>0</v>
      </c>
      <c r="H144" s="7">
        <f t="shared" si="44"/>
        <v>0</v>
      </c>
      <c r="I144" s="7">
        <f t="shared" si="44"/>
        <v>0</v>
      </c>
      <c r="J144" s="7">
        <f t="shared" si="44"/>
        <v>5583966</v>
      </c>
      <c r="K144" s="110">
        <f t="shared" si="44"/>
        <v>4735122</v>
      </c>
      <c r="L144" s="7">
        <f t="shared" si="44"/>
        <v>848844</v>
      </c>
    </row>
    <row r="145" spans="1:12" x14ac:dyDescent="0.3">
      <c r="A145" s="254"/>
      <c r="B145" s="261"/>
      <c r="C145" s="82" t="s">
        <v>31</v>
      </c>
      <c r="D145" s="83">
        <v>1025121</v>
      </c>
      <c r="E145" s="83">
        <v>1090873</v>
      </c>
      <c r="F145" s="83"/>
      <c r="G145" s="83"/>
      <c r="H145" s="83"/>
      <c r="I145" s="83"/>
      <c r="J145" s="84">
        <f t="shared" ref="J145:J153" si="45">E145+F145+G145+H145+I145</f>
        <v>1090873</v>
      </c>
      <c r="K145" s="111">
        <v>935458</v>
      </c>
      <c r="L145" s="85">
        <f t="shared" ref="L145:L153" si="46">J145-K145</f>
        <v>155415</v>
      </c>
    </row>
    <row r="146" spans="1:12" x14ac:dyDescent="0.3">
      <c r="A146" s="254"/>
      <c r="B146" s="261"/>
      <c r="C146" s="2" t="s">
        <v>32</v>
      </c>
      <c r="D146" s="3">
        <v>80000</v>
      </c>
      <c r="E146" s="3">
        <v>80000</v>
      </c>
      <c r="F146" s="3"/>
      <c r="G146" s="3"/>
      <c r="H146" s="3"/>
      <c r="I146" s="3"/>
      <c r="J146" s="20">
        <f t="shared" si="45"/>
        <v>80000</v>
      </c>
      <c r="K146" s="108">
        <v>0</v>
      </c>
      <c r="L146" s="3">
        <f t="shared" si="46"/>
        <v>80000</v>
      </c>
    </row>
    <row r="147" spans="1:12" x14ac:dyDescent="0.3">
      <c r="A147" s="254"/>
      <c r="B147" s="261"/>
      <c r="C147" s="2" t="s">
        <v>33</v>
      </c>
      <c r="D147" s="3">
        <v>110000</v>
      </c>
      <c r="E147" s="3">
        <v>50000</v>
      </c>
      <c r="F147" s="3">
        <v>50000</v>
      </c>
      <c r="G147" s="3"/>
      <c r="H147" s="3"/>
      <c r="I147" s="3"/>
      <c r="J147" s="20">
        <f t="shared" si="45"/>
        <v>100000</v>
      </c>
      <c r="K147" s="108">
        <v>99415</v>
      </c>
      <c r="L147" s="3">
        <f t="shared" si="46"/>
        <v>585</v>
      </c>
    </row>
    <row r="148" spans="1:12" x14ac:dyDescent="0.3">
      <c r="A148" s="254"/>
      <c r="B148" s="261"/>
      <c r="C148" s="2" t="s">
        <v>34</v>
      </c>
      <c r="D148" s="3">
        <v>150000</v>
      </c>
      <c r="E148" s="3">
        <v>136000</v>
      </c>
      <c r="F148" s="3">
        <v>-50000</v>
      </c>
      <c r="G148" s="3"/>
      <c r="H148" s="3"/>
      <c r="I148" s="3"/>
      <c r="J148" s="20">
        <f t="shared" si="45"/>
        <v>86000</v>
      </c>
      <c r="K148" s="108">
        <v>0</v>
      </c>
      <c r="L148" s="3">
        <f t="shared" si="46"/>
        <v>86000</v>
      </c>
    </row>
    <row r="149" spans="1:12" x14ac:dyDescent="0.3">
      <c r="A149" s="254"/>
      <c r="B149" s="261"/>
      <c r="C149" s="2" t="s">
        <v>38</v>
      </c>
      <c r="D149" s="3">
        <v>144000</v>
      </c>
      <c r="E149" s="3">
        <v>140600</v>
      </c>
      <c r="F149" s="3"/>
      <c r="G149" s="3"/>
      <c r="H149" s="3"/>
      <c r="I149" s="3"/>
      <c r="J149" s="20">
        <f t="shared" si="45"/>
        <v>140600</v>
      </c>
      <c r="K149" s="108">
        <v>14778</v>
      </c>
      <c r="L149" s="3">
        <f t="shared" si="46"/>
        <v>125822</v>
      </c>
    </row>
    <row r="150" spans="1:12" x14ac:dyDescent="0.3">
      <c r="A150" s="254"/>
      <c r="B150" s="261"/>
      <c r="C150" s="2" t="s">
        <v>40</v>
      </c>
      <c r="D150" s="3">
        <v>16800</v>
      </c>
      <c r="E150" s="3">
        <v>20200</v>
      </c>
      <c r="F150" s="3"/>
      <c r="G150" s="3"/>
      <c r="H150" s="3"/>
      <c r="I150" s="3"/>
      <c r="J150" s="20">
        <f t="shared" si="45"/>
        <v>20200</v>
      </c>
      <c r="K150" s="108">
        <v>10200</v>
      </c>
      <c r="L150" s="3">
        <f t="shared" si="46"/>
        <v>10000</v>
      </c>
    </row>
    <row r="151" spans="1:12" x14ac:dyDescent="0.3">
      <c r="A151" s="254"/>
      <c r="B151" s="261"/>
      <c r="C151" s="2" t="s">
        <v>41</v>
      </c>
      <c r="D151" s="3">
        <v>40000</v>
      </c>
      <c r="E151" s="3">
        <v>120280</v>
      </c>
      <c r="F151" s="3"/>
      <c r="G151" s="3"/>
      <c r="H151" s="3"/>
      <c r="I151" s="3"/>
      <c r="J151" s="20">
        <f t="shared" si="45"/>
        <v>120280</v>
      </c>
      <c r="K151" s="108">
        <v>81760</v>
      </c>
      <c r="L151" s="3">
        <f t="shared" si="46"/>
        <v>38520</v>
      </c>
    </row>
    <row r="152" spans="1:12" x14ac:dyDescent="0.3">
      <c r="A152" s="254"/>
      <c r="B152" s="261"/>
      <c r="C152" s="2" t="s">
        <v>42</v>
      </c>
      <c r="D152" s="3">
        <v>150000</v>
      </c>
      <c r="E152" s="3">
        <v>143720</v>
      </c>
      <c r="F152" s="3"/>
      <c r="G152" s="3"/>
      <c r="H152" s="3"/>
      <c r="I152" s="3"/>
      <c r="J152" s="20">
        <f t="shared" si="45"/>
        <v>143720</v>
      </c>
      <c r="K152" s="108">
        <v>101315</v>
      </c>
      <c r="L152" s="3">
        <f t="shared" si="46"/>
        <v>42405</v>
      </c>
    </row>
    <row r="153" spans="1:12" x14ac:dyDescent="0.3">
      <c r="A153" s="254"/>
      <c r="B153" s="261"/>
      <c r="C153" s="2" t="s">
        <v>44</v>
      </c>
      <c r="D153" s="3">
        <v>141480</v>
      </c>
      <c r="E153" s="3">
        <v>141480</v>
      </c>
      <c r="F153" s="3"/>
      <c r="G153" s="3"/>
      <c r="H153" s="3"/>
      <c r="I153" s="3"/>
      <c r="J153" s="20">
        <f t="shared" si="45"/>
        <v>141480</v>
      </c>
      <c r="K153" s="108">
        <v>42451</v>
      </c>
      <c r="L153" s="3">
        <f t="shared" si="46"/>
        <v>99029</v>
      </c>
    </row>
    <row r="154" spans="1:12" x14ac:dyDescent="0.3">
      <c r="A154" s="254"/>
      <c r="B154" s="261"/>
      <c r="C154" s="6" t="s">
        <v>49</v>
      </c>
      <c r="D154" s="7">
        <f>SUM(D146:D153)</f>
        <v>832280</v>
      </c>
      <c r="E154" s="7">
        <v>832280</v>
      </c>
      <c r="F154" s="7">
        <f t="shared" ref="F154:L154" si="47">SUM(F146:F153)</f>
        <v>0</v>
      </c>
      <c r="G154" s="7">
        <f t="shared" si="47"/>
        <v>0</v>
      </c>
      <c r="H154" s="7">
        <f t="shared" si="47"/>
        <v>0</v>
      </c>
      <c r="I154" s="7">
        <f t="shared" si="47"/>
        <v>0</v>
      </c>
      <c r="J154" s="7">
        <f t="shared" si="47"/>
        <v>832280</v>
      </c>
      <c r="K154" s="110">
        <f t="shared" si="47"/>
        <v>349919</v>
      </c>
      <c r="L154" s="7">
        <f t="shared" si="47"/>
        <v>482361</v>
      </c>
    </row>
    <row r="155" spans="1:12" x14ac:dyDescent="0.3">
      <c r="A155" s="262" t="s">
        <v>66</v>
      </c>
      <c r="B155" s="264" t="s">
        <v>23</v>
      </c>
      <c r="C155" s="15" t="s">
        <v>24</v>
      </c>
      <c r="D155" s="24">
        <v>832628</v>
      </c>
      <c r="E155" s="24">
        <v>832628</v>
      </c>
      <c r="F155" s="11"/>
      <c r="G155" s="11"/>
      <c r="H155" s="187">
        <v>-10559</v>
      </c>
      <c r="I155" s="11"/>
      <c r="J155" s="20">
        <f t="shared" ref="J155:J156" si="48">E155+F155+G155+H155+I155</f>
        <v>822069</v>
      </c>
      <c r="K155" s="108">
        <v>752545</v>
      </c>
      <c r="L155" s="3">
        <f t="shared" ref="L155:L156" si="49">J155-K155</f>
        <v>69524</v>
      </c>
    </row>
    <row r="156" spans="1:12" x14ac:dyDescent="0.3">
      <c r="A156" s="263"/>
      <c r="B156" s="265"/>
      <c r="C156" s="15" t="s">
        <v>31</v>
      </c>
      <c r="D156" s="24">
        <v>155410</v>
      </c>
      <c r="E156" s="24">
        <v>155410</v>
      </c>
      <c r="F156" s="11"/>
      <c r="G156" s="11"/>
      <c r="H156" s="187">
        <v>-2059</v>
      </c>
      <c r="I156" s="11"/>
      <c r="J156" s="20">
        <f t="shared" si="48"/>
        <v>153351</v>
      </c>
      <c r="K156" s="108">
        <v>141185</v>
      </c>
      <c r="L156" s="3">
        <f t="shared" si="49"/>
        <v>12166</v>
      </c>
    </row>
    <row r="157" spans="1:12" x14ac:dyDescent="0.3">
      <c r="A157" s="319" t="s">
        <v>79</v>
      </c>
      <c r="B157" s="320"/>
      <c r="C157" s="321"/>
      <c r="D157" s="80">
        <f>SUM(D144+D145+D154+D155+D156)</f>
        <v>8091236</v>
      </c>
      <c r="E157" s="80">
        <v>8495157</v>
      </c>
      <c r="F157" s="80">
        <f t="shared" ref="F157:L157" si="50">SUM(F144+F145+F154+F155+F156)</f>
        <v>0</v>
      </c>
      <c r="G157" s="80">
        <f t="shared" si="50"/>
        <v>0</v>
      </c>
      <c r="H157" s="80">
        <f t="shared" si="50"/>
        <v>-12618</v>
      </c>
      <c r="I157" s="80">
        <f t="shared" si="50"/>
        <v>0</v>
      </c>
      <c r="J157" s="80">
        <f t="shared" si="50"/>
        <v>8482539</v>
      </c>
      <c r="K157" s="112">
        <f t="shared" si="50"/>
        <v>6914229</v>
      </c>
      <c r="L157" s="80">
        <f t="shared" si="50"/>
        <v>1568310</v>
      </c>
    </row>
    <row r="158" spans="1:12" x14ac:dyDescent="0.3">
      <c r="A158" s="254" t="s">
        <v>55</v>
      </c>
      <c r="B158" s="261" t="s">
        <v>23</v>
      </c>
      <c r="C158" s="10" t="s">
        <v>24</v>
      </c>
      <c r="D158" s="24">
        <v>5055869</v>
      </c>
      <c r="E158" s="24">
        <v>5275466</v>
      </c>
      <c r="F158" s="187">
        <v>-47179</v>
      </c>
      <c r="G158" s="11"/>
      <c r="H158" s="11"/>
      <c r="I158" s="11"/>
      <c r="J158" s="20">
        <f t="shared" ref="J158:J163" si="51">E158+F158+G158+H158+I158</f>
        <v>5228287</v>
      </c>
      <c r="K158" s="108">
        <v>4575213</v>
      </c>
      <c r="L158" s="3">
        <f t="shared" ref="L158:L163" si="52">J158-K158</f>
        <v>653074</v>
      </c>
    </row>
    <row r="159" spans="1:12" x14ac:dyDescent="0.3">
      <c r="A159" s="254"/>
      <c r="B159" s="261"/>
      <c r="C159" s="10" t="s">
        <v>25</v>
      </c>
      <c r="D159" s="24">
        <v>425000</v>
      </c>
      <c r="E159" s="24">
        <v>425000</v>
      </c>
      <c r="F159" s="187"/>
      <c r="G159" s="11"/>
      <c r="H159" s="11"/>
      <c r="I159" s="11"/>
      <c r="J159" s="20">
        <f t="shared" si="51"/>
        <v>425000</v>
      </c>
      <c r="K159" s="108">
        <v>402500</v>
      </c>
      <c r="L159" s="3">
        <f t="shared" si="52"/>
        <v>22500</v>
      </c>
    </row>
    <row r="160" spans="1:12" x14ac:dyDescent="0.3">
      <c r="A160" s="254"/>
      <c r="B160" s="261"/>
      <c r="C160" s="10" t="s">
        <v>26</v>
      </c>
      <c r="D160" s="24">
        <v>10000</v>
      </c>
      <c r="E160" s="24">
        <v>10000</v>
      </c>
      <c r="F160" s="187"/>
      <c r="G160" s="11"/>
      <c r="H160" s="11"/>
      <c r="I160" s="11"/>
      <c r="J160" s="20">
        <f t="shared" si="51"/>
        <v>10000</v>
      </c>
      <c r="K160" s="108">
        <v>10000</v>
      </c>
      <c r="L160" s="3">
        <f t="shared" si="52"/>
        <v>0</v>
      </c>
    </row>
    <row r="161" spans="1:12" x14ac:dyDescent="0.3">
      <c r="A161" s="254"/>
      <c r="B161" s="261"/>
      <c r="C161" s="10" t="s">
        <v>28</v>
      </c>
      <c r="D161" s="24">
        <v>24000</v>
      </c>
      <c r="E161" s="24">
        <v>24000</v>
      </c>
      <c r="F161" s="187"/>
      <c r="G161" s="11"/>
      <c r="H161" s="11"/>
      <c r="I161" s="11"/>
      <c r="J161" s="20">
        <f t="shared" si="51"/>
        <v>24000</v>
      </c>
      <c r="K161" s="108">
        <v>24000</v>
      </c>
      <c r="L161" s="3">
        <f t="shared" si="52"/>
        <v>0</v>
      </c>
    </row>
    <row r="162" spans="1:12" x14ac:dyDescent="0.3">
      <c r="A162" s="254"/>
      <c r="B162" s="261"/>
      <c r="C162" s="10" t="s">
        <v>29</v>
      </c>
      <c r="D162" s="24">
        <v>75000</v>
      </c>
      <c r="E162" s="24">
        <v>125000</v>
      </c>
      <c r="F162" s="187">
        <v>40301</v>
      </c>
      <c r="G162" s="11"/>
      <c r="H162" s="11"/>
      <c r="I162" s="11"/>
      <c r="J162" s="20">
        <f t="shared" si="51"/>
        <v>165301</v>
      </c>
      <c r="K162" s="108">
        <v>112801</v>
      </c>
      <c r="L162" s="3">
        <f t="shared" si="52"/>
        <v>52500</v>
      </c>
    </row>
    <row r="163" spans="1:12" x14ac:dyDescent="0.3">
      <c r="A163" s="254"/>
      <c r="B163" s="261"/>
      <c r="C163" s="10" t="s">
        <v>30</v>
      </c>
      <c r="D163" s="24">
        <v>0</v>
      </c>
      <c r="E163" s="24">
        <v>0</v>
      </c>
      <c r="F163" s="187">
        <v>6878</v>
      </c>
      <c r="G163" s="11"/>
      <c r="H163" s="11"/>
      <c r="I163" s="11"/>
      <c r="J163" s="20">
        <f t="shared" si="51"/>
        <v>6878</v>
      </c>
      <c r="K163" s="108">
        <v>6878</v>
      </c>
      <c r="L163" s="3">
        <f t="shared" si="52"/>
        <v>0</v>
      </c>
    </row>
    <row r="164" spans="1:12" x14ac:dyDescent="0.3">
      <c r="A164" s="254"/>
      <c r="B164" s="261"/>
      <c r="C164" s="6" t="s">
        <v>53</v>
      </c>
      <c r="D164" s="7">
        <f>SUM(D158:D163)</f>
        <v>5589869</v>
      </c>
      <c r="E164" s="7">
        <v>5859466</v>
      </c>
      <c r="F164" s="7">
        <f t="shared" ref="F164:L164" si="53">SUM(F158:F163)</f>
        <v>0</v>
      </c>
      <c r="G164" s="7">
        <f t="shared" si="53"/>
        <v>0</v>
      </c>
      <c r="H164" s="7">
        <f t="shared" si="53"/>
        <v>0</v>
      </c>
      <c r="I164" s="7">
        <f t="shared" si="53"/>
        <v>0</v>
      </c>
      <c r="J164" s="7">
        <f t="shared" si="53"/>
        <v>5859466</v>
      </c>
      <c r="K164" s="110">
        <f t="shared" si="53"/>
        <v>5131392</v>
      </c>
      <c r="L164" s="7">
        <f t="shared" si="53"/>
        <v>728074</v>
      </c>
    </row>
    <row r="165" spans="1:12" x14ac:dyDescent="0.3">
      <c r="A165" s="254"/>
      <c r="B165" s="261"/>
      <c r="C165" s="82" t="s">
        <v>31</v>
      </c>
      <c r="D165" s="83">
        <v>1124913</v>
      </c>
      <c r="E165" s="83">
        <v>1177484</v>
      </c>
      <c r="F165" s="83"/>
      <c r="G165" s="83"/>
      <c r="H165" s="83"/>
      <c r="I165" s="83"/>
      <c r="J165" s="84">
        <f t="shared" ref="J165:J174" si="54">E165+F165+G165+H165+I165</f>
        <v>1177484</v>
      </c>
      <c r="K165" s="111">
        <v>1030812</v>
      </c>
      <c r="L165" s="85">
        <f t="shared" ref="L165:L174" si="55">J165-K165</f>
        <v>146672</v>
      </c>
    </row>
    <row r="166" spans="1:12" x14ac:dyDescent="0.3">
      <c r="A166" s="254"/>
      <c r="B166" s="261"/>
      <c r="C166" s="10" t="s">
        <v>32</v>
      </c>
      <c r="D166" s="24">
        <v>100000</v>
      </c>
      <c r="E166" s="24">
        <v>50000</v>
      </c>
      <c r="F166" s="11"/>
      <c r="G166" s="11"/>
      <c r="H166" s="11"/>
      <c r="I166" s="11"/>
      <c r="J166" s="20">
        <f t="shared" si="54"/>
        <v>50000</v>
      </c>
      <c r="K166" s="108">
        <v>0</v>
      </c>
      <c r="L166" s="3">
        <f t="shared" si="55"/>
        <v>50000</v>
      </c>
    </row>
    <row r="167" spans="1:12" x14ac:dyDescent="0.3">
      <c r="A167" s="254"/>
      <c r="B167" s="261"/>
      <c r="C167" s="10" t="s">
        <v>33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4"/>
        <v>100000</v>
      </c>
      <c r="K167" s="108">
        <v>93234</v>
      </c>
      <c r="L167" s="3">
        <f t="shared" si="55"/>
        <v>6766</v>
      </c>
    </row>
    <row r="168" spans="1:12" x14ac:dyDescent="0.3">
      <c r="A168" s="254"/>
      <c r="B168" s="261"/>
      <c r="C168" s="10" t="s">
        <v>34</v>
      </c>
      <c r="D168" s="24">
        <v>100000</v>
      </c>
      <c r="E168" s="24">
        <v>100000</v>
      </c>
      <c r="F168" s="187">
        <v>-50000</v>
      </c>
      <c r="G168" s="11"/>
      <c r="H168" s="11"/>
      <c r="I168" s="11"/>
      <c r="J168" s="20">
        <f t="shared" si="54"/>
        <v>50000</v>
      </c>
      <c r="K168" s="108">
        <v>0</v>
      </c>
      <c r="L168" s="3">
        <f t="shared" si="55"/>
        <v>50000</v>
      </c>
    </row>
    <row r="169" spans="1:12" x14ac:dyDescent="0.3">
      <c r="A169" s="254"/>
      <c r="B169" s="261"/>
      <c r="C169" s="10" t="s">
        <v>35</v>
      </c>
      <c r="D169" s="24">
        <v>50000</v>
      </c>
      <c r="E169" s="24">
        <v>50000</v>
      </c>
      <c r="F169" s="187"/>
      <c r="G169" s="11"/>
      <c r="H169" s="11"/>
      <c r="I169" s="11"/>
      <c r="J169" s="20">
        <f t="shared" si="54"/>
        <v>50000</v>
      </c>
      <c r="K169" s="108">
        <v>0</v>
      </c>
      <c r="L169" s="3">
        <f t="shared" si="55"/>
        <v>50000</v>
      </c>
    </row>
    <row r="170" spans="1:12" x14ac:dyDescent="0.3">
      <c r="A170" s="254"/>
      <c r="B170" s="261"/>
      <c r="C170" s="10" t="s">
        <v>38</v>
      </c>
      <c r="D170" s="24">
        <v>140000</v>
      </c>
      <c r="E170" s="24">
        <v>136600</v>
      </c>
      <c r="F170" s="187"/>
      <c r="G170" s="11"/>
      <c r="H170" s="11"/>
      <c r="I170" s="11"/>
      <c r="J170" s="20">
        <f t="shared" si="54"/>
        <v>136600</v>
      </c>
      <c r="K170" s="108">
        <v>60347</v>
      </c>
      <c r="L170" s="3">
        <f t="shared" si="55"/>
        <v>76253</v>
      </c>
    </row>
    <row r="171" spans="1:12" x14ac:dyDescent="0.3">
      <c r="A171" s="254"/>
      <c r="B171" s="261"/>
      <c r="C171" s="10" t="s">
        <v>40</v>
      </c>
      <c r="D171" s="24">
        <v>15000</v>
      </c>
      <c r="E171" s="24">
        <v>18400</v>
      </c>
      <c r="F171" s="187"/>
      <c r="G171" s="11"/>
      <c r="H171" s="11"/>
      <c r="I171" s="11"/>
      <c r="J171" s="20">
        <f t="shared" si="54"/>
        <v>18400</v>
      </c>
      <c r="K171" s="108">
        <v>9300</v>
      </c>
      <c r="L171" s="3">
        <f t="shared" si="55"/>
        <v>9100</v>
      </c>
    </row>
    <row r="172" spans="1:12" x14ac:dyDescent="0.3">
      <c r="A172" s="254"/>
      <c r="B172" s="261"/>
      <c r="C172" s="10" t="s">
        <v>41</v>
      </c>
      <c r="D172" s="24">
        <v>80000</v>
      </c>
      <c r="E172" s="24">
        <v>144188</v>
      </c>
      <c r="F172" s="187"/>
      <c r="G172" s="11"/>
      <c r="H172" s="11"/>
      <c r="I172" s="11"/>
      <c r="J172" s="20">
        <f t="shared" si="54"/>
        <v>144188</v>
      </c>
      <c r="K172" s="108">
        <v>95668</v>
      </c>
      <c r="L172" s="3">
        <f t="shared" si="55"/>
        <v>48520</v>
      </c>
    </row>
    <row r="173" spans="1:12" x14ac:dyDescent="0.3">
      <c r="A173" s="254"/>
      <c r="B173" s="261"/>
      <c r="C173" s="10" t="s">
        <v>42</v>
      </c>
      <c r="D173" s="24">
        <v>240000</v>
      </c>
      <c r="E173" s="24">
        <v>240000</v>
      </c>
      <c r="F173" s="187">
        <v>50000</v>
      </c>
      <c r="G173" s="11"/>
      <c r="H173" s="11"/>
      <c r="I173" s="11"/>
      <c r="J173" s="20">
        <f t="shared" si="54"/>
        <v>290000</v>
      </c>
      <c r="K173" s="108">
        <v>248260</v>
      </c>
      <c r="L173" s="3">
        <f t="shared" si="55"/>
        <v>41740</v>
      </c>
    </row>
    <row r="174" spans="1:12" x14ac:dyDescent="0.3">
      <c r="A174" s="254"/>
      <c r="B174" s="261"/>
      <c r="C174" s="10" t="s">
        <v>44</v>
      </c>
      <c r="D174" s="24">
        <v>142900</v>
      </c>
      <c r="E174" s="24">
        <v>128712</v>
      </c>
      <c r="F174" s="187"/>
      <c r="G174" s="11"/>
      <c r="H174" s="11"/>
      <c r="I174" s="11"/>
      <c r="J174" s="20">
        <f t="shared" si="54"/>
        <v>128712</v>
      </c>
      <c r="K174" s="108">
        <v>49390</v>
      </c>
      <c r="L174" s="3">
        <f t="shared" si="55"/>
        <v>79322</v>
      </c>
    </row>
    <row r="175" spans="1:12" x14ac:dyDescent="0.3">
      <c r="A175" s="254"/>
      <c r="B175" s="261"/>
      <c r="C175" s="6" t="s">
        <v>49</v>
      </c>
      <c r="D175" s="7">
        <f>SUM(D166:D174)</f>
        <v>967900</v>
      </c>
      <c r="E175" s="7">
        <v>967900</v>
      </c>
      <c r="F175" s="7">
        <f t="shared" ref="F175:L175" si="56">SUM(F166:F174)</f>
        <v>0</v>
      </c>
      <c r="G175" s="7">
        <f t="shared" si="56"/>
        <v>0</v>
      </c>
      <c r="H175" s="7">
        <f t="shared" si="56"/>
        <v>0</v>
      </c>
      <c r="I175" s="7">
        <f t="shared" si="56"/>
        <v>0</v>
      </c>
      <c r="J175" s="7">
        <f t="shared" si="56"/>
        <v>967900</v>
      </c>
      <c r="K175" s="110">
        <f t="shared" si="56"/>
        <v>556199</v>
      </c>
      <c r="L175" s="7">
        <f t="shared" si="56"/>
        <v>411701</v>
      </c>
    </row>
    <row r="176" spans="1:12" x14ac:dyDescent="0.3">
      <c r="A176" s="262" t="s">
        <v>67</v>
      </c>
      <c r="B176" s="264" t="s">
        <v>23</v>
      </c>
      <c r="C176" s="25" t="s">
        <v>29</v>
      </c>
      <c r="D176" s="24">
        <v>157200</v>
      </c>
      <c r="E176" s="24">
        <v>157200</v>
      </c>
      <c r="F176" s="11"/>
      <c r="G176" s="187">
        <v>-85800</v>
      </c>
      <c r="H176" s="187"/>
      <c r="I176" s="11"/>
      <c r="J176" s="20">
        <f t="shared" ref="J176:J192" si="57">E176+F176+G176+H176+I176</f>
        <v>71400</v>
      </c>
      <c r="K176" s="108">
        <v>66100</v>
      </c>
      <c r="L176" s="3">
        <f t="shared" ref="L176:L192" si="58">J176-K176</f>
        <v>5300</v>
      </c>
    </row>
    <row r="177" spans="1:12" x14ac:dyDescent="0.3">
      <c r="A177" s="263"/>
      <c r="B177" s="265"/>
      <c r="C177" s="25" t="s">
        <v>31</v>
      </c>
      <c r="D177" s="24">
        <v>29213</v>
      </c>
      <c r="E177" s="24">
        <v>29213</v>
      </c>
      <c r="F177" s="11"/>
      <c r="G177" s="187">
        <v>-15818</v>
      </c>
      <c r="H177" s="187"/>
      <c r="I177" s="11"/>
      <c r="J177" s="20">
        <f t="shared" si="57"/>
        <v>13395</v>
      </c>
      <c r="K177" s="108">
        <v>12468</v>
      </c>
      <c r="L177" s="3">
        <f t="shared" si="58"/>
        <v>927</v>
      </c>
    </row>
    <row r="178" spans="1:12" x14ac:dyDescent="0.3">
      <c r="A178" s="262" t="s">
        <v>75</v>
      </c>
      <c r="B178" s="264" t="s">
        <v>23</v>
      </c>
      <c r="C178" s="15" t="s">
        <v>24</v>
      </c>
      <c r="D178" s="24">
        <v>1604509</v>
      </c>
      <c r="E178" s="24">
        <v>1604509</v>
      </c>
      <c r="F178" s="11"/>
      <c r="G178" s="187"/>
      <c r="H178" s="187">
        <v>40559</v>
      </c>
      <c r="I178" s="11"/>
      <c r="J178" s="20">
        <f t="shared" si="57"/>
        <v>1645068</v>
      </c>
      <c r="K178" s="108">
        <v>1507463</v>
      </c>
      <c r="L178" s="3">
        <f t="shared" si="58"/>
        <v>137605</v>
      </c>
    </row>
    <row r="179" spans="1:12" x14ac:dyDescent="0.3">
      <c r="A179" s="263"/>
      <c r="B179" s="265"/>
      <c r="C179" s="15" t="s">
        <v>31</v>
      </c>
      <c r="D179" s="24">
        <v>299119</v>
      </c>
      <c r="E179" s="24">
        <v>299119</v>
      </c>
      <c r="F179" s="11"/>
      <c r="G179" s="187"/>
      <c r="H179" s="187">
        <v>7911</v>
      </c>
      <c r="I179" s="11"/>
      <c r="J179" s="20">
        <f t="shared" si="57"/>
        <v>307030</v>
      </c>
      <c r="K179" s="108">
        <v>282949</v>
      </c>
      <c r="L179" s="3">
        <f t="shared" si="58"/>
        <v>24081</v>
      </c>
    </row>
    <row r="180" spans="1:12" x14ac:dyDescent="0.3">
      <c r="A180" s="322" t="s">
        <v>80</v>
      </c>
      <c r="B180" s="322"/>
      <c r="C180" s="322"/>
      <c r="D180" s="81">
        <f>SUM(D164+D165+D175+D176+D177+D178+D179)</f>
        <v>9772723</v>
      </c>
      <c r="E180" s="81">
        <v>10094891</v>
      </c>
      <c r="F180" s="81">
        <f t="shared" ref="F180:L180" si="59">SUM(F164+F165+F175+F176+F177+F178+F179)</f>
        <v>0</v>
      </c>
      <c r="G180" s="81">
        <f t="shared" si="59"/>
        <v>-101618</v>
      </c>
      <c r="H180" s="81">
        <f t="shared" si="59"/>
        <v>48470</v>
      </c>
      <c r="I180" s="81">
        <f t="shared" si="59"/>
        <v>0</v>
      </c>
      <c r="J180" s="81">
        <f t="shared" si="59"/>
        <v>10041743</v>
      </c>
      <c r="K180" s="112">
        <f t="shared" si="59"/>
        <v>8587383</v>
      </c>
      <c r="L180" s="81">
        <f t="shared" si="59"/>
        <v>1454360</v>
      </c>
    </row>
    <row r="181" spans="1:12" x14ac:dyDescent="0.3">
      <c r="A181" s="254" t="s">
        <v>15</v>
      </c>
      <c r="B181" s="264" t="s">
        <v>23</v>
      </c>
      <c r="C181" s="43" t="s">
        <v>24</v>
      </c>
      <c r="D181" s="44">
        <v>11144060</v>
      </c>
      <c r="E181" s="44">
        <v>11144060</v>
      </c>
      <c r="F181" s="44"/>
      <c r="G181" s="44"/>
      <c r="H181" s="44"/>
      <c r="I181" s="44"/>
      <c r="J181" s="20">
        <f t="shared" si="57"/>
        <v>11144060</v>
      </c>
      <c r="K181" s="56">
        <v>8187749</v>
      </c>
      <c r="L181" s="3">
        <f t="shared" si="58"/>
        <v>2956311</v>
      </c>
    </row>
    <row r="182" spans="1:12" x14ac:dyDescent="0.3">
      <c r="A182" s="254"/>
      <c r="B182" s="268"/>
      <c r="C182" s="43" t="s">
        <v>30</v>
      </c>
      <c r="D182" s="44">
        <v>0</v>
      </c>
      <c r="E182" s="44">
        <v>0</v>
      </c>
      <c r="F182" s="44"/>
      <c r="G182" s="44"/>
      <c r="H182" s="44"/>
      <c r="I182" s="44"/>
      <c r="J182" s="20">
        <f t="shared" si="57"/>
        <v>0</v>
      </c>
      <c r="K182" s="56">
        <v>0</v>
      </c>
      <c r="L182" s="3">
        <f t="shared" si="58"/>
        <v>0</v>
      </c>
    </row>
    <row r="183" spans="1:12" x14ac:dyDescent="0.3">
      <c r="A183" s="254"/>
      <c r="B183" s="268"/>
      <c r="C183" s="6" t="s">
        <v>53</v>
      </c>
      <c r="D183" s="7">
        <f>D181+D182</f>
        <v>11144060</v>
      </c>
      <c r="E183" s="7">
        <v>11144060</v>
      </c>
      <c r="F183" s="7">
        <f t="shared" ref="F183:L183" si="60">F181+F182</f>
        <v>0</v>
      </c>
      <c r="G183" s="7">
        <f t="shared" si="60"/>
        <v>0</v>
      </c>
      <c r="H183" s="7">
        <f t="shared" si="60"/>
        <v>0</v>
      </c>
      <c r="I183" s="7">
        <f t="shared" si="60"/>
        <v>0</v>
      </c>
      <c r="J183" s="8">
        <f t="shared" si="57"/>
        <v>11144060</v>
      </c>
      <c r="K183" s="113">
        <f t="shared" si="60"/>
        <v>8187749</v>
      </c>
      <c r="L183" s="7">
        <f t="shared" si="60"/>
        <v>2956311</v>
      </c>
    </row>
    <row r="184" spans="1:12" x14ac:dyDescent="0.3">
      <c r="A184" s="254"/>
      <c r="B184" s="268"/>
      <c r="C184" s="82" t="s">
        <v>31</v>
      </c>
      <c r="D184" s="83">
        <v>2295657</v>
      </c>
      <c r="E184" s="83">
        <v>6570207</v>
      </c>
      <c r="F184" s="83"/>
      <c r="G184" s="83"/>
      <c r="H184" s="83"/>
      <c r="I184" s="83"/>
      <c r="J184" s="85">
        <f t="shared" si="57"/>
        <v>6570207</v>
      </c>
      <c r="K184" s="111">
        <v>4345532</v>
      </c>
      <c r="L184" s="85">
        <f t="shared" si="58"/>
        <v>2224675</v>
      </c>
    </row>
    <row r="185" spans="1:12" x14ac:dyDescent="0.3">
      <c r="A185" s="254"/>
      <c r="B185" s="268"/>
      <c r="C185" s="10" t="s">
        <v>33</v>
      </c>
      <c r="D185" s="3">
        <v>90000</v>
      </c>
      <c r="E185" s="3">
        <v>232959</v>
      </c>
      <c r="F185" s="3"/>
      <c r="G185" s="3"/>
      <c r="H185" s="3"/>
      <c r="I185" s="3"/>
      <c r="J185" s="3">
        <f t="shared" si="57"/>
        <v>232959</v>
      </c>
      <c r="K185" s="108">
        <v>232959</v>
      </c>
      <c r="L185" s="3">
        <f t="shared" si="58"/>
        <v>0</v>
      </c>
    </row>
    <row r="186" spans="1:12" x14ac:dyDescent="0.3">
      <c r="A186" s="254"/>
      <c r="B186" s="268"/>
      <c r="C186" s="10" t="s">
        <v>37</v>
      </c>
      <c r="D186" s="3">
        <v>230000</v>
      </c>
      <c r="E186" s="3">
        <v>230000</v>
      </c>
      <c r="F186" s="3"/>
      <c r="G186" s="3"/>
      <c r="H186" s="3"/>
      <c r="I186" s="3"/>
      <c r="J186" s="3">
        <f t="shared" si="57"/>
        <v>230000</v>
      </c>
      <c r="K186" s="108">
        <v>138000</v>
      </c>
      <c r="L186" s="3">
        <f t="shared" si="58"/>
        <v>92000</v>
      </c>
    </row>
    <row r="187" spans="1:12" x14ac:dyDescent="0.3">
      <c r="A187" s="254"/>
      <c r="B187" s="268"/>
      <c r="C187" s="10" t="s">
        <v>40</v>
      </c>
      <c r="D187" s="3">
        <v>14850000</v>
      </c>
      <c r="E187" s="3">
        <v>14850000</v>
      </c>
      <c r="F187" s="3"/>
      <c r="G187" s="3"/>
      <c r="H187" s="3"/>
      <c r="I187" s="3"/>
      <c r="J187" s="3">
        <f t="shared" si="57"/>
        <v>14850000</v>
      </c>
      <c r="K187" s="108">
        <v>0</v>
      </c>
      <c r="L187" s="3">
        <f t="shared" si="58"/>
        <v>14850000</v>
      </c>
    </row>
    <row r="188" spans="1:12" x14ac:dyDescent="0.3">
      <c r="A188" s="254"/>
      <c r="B188" s="268"/>
      <c r="C188" s="10" t="s">
        <v>41</v>
      </c>
      <c r="D188" s="3">
        <v>25112271</v>
      </c>
      <c r="E188" s="3">
        <v>12427045</v>
      </c>
      <c r="F188" s="3"/>
      <c r="G188" s="3"/>
      <c r="H188" s="3"/>
      <c r="I188" s="3"/>
      <c r="J188" s="3">
        <f t="shared" si="57"/>
        <v>12427045</v>
      </c>
      <c r="K188" s="108">
        <v>6157972</v>
      </c>
      <c r="L188" s="3">
        <f t="shared" si="58"/>
        <v>6269073</v>
      </c>
    </row>
    <row r="189" spans="1:12" x14ac:dyDescent="0.3">
      <c r="A189" s="254"/>
      <c r="B189" s="268"/>
      <c r="C189" s="10" t="s">
        <v>42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7"/>
        <v>230000</v>
      </c>
      <c r="K189" s="108">
        <v>38298</v>
      </c>
      <c r="L189" s="3">
        <f t="shared" si="58"/>
        <v>191702</v>
      </c>
    </row>
    <row r="190" spans="1:12" x14ac:dyDescent="0.3">
      <c r="A190" s="254"/>
      <c r="B190" s="268"/>
      <c r="C190" s="10" t="s">
        <v>43</v>
      </c>
      <c r="D190" s="3">
        <v>230000</v>
      </c>
      <c r="E190" s="3">
        <v>230000</v>
      </c>
      <c r="F190" s="3"/>
      <c r="G190" s="3"/>
      <c r="H190" s="3"/>
      <c r="I190" s="3"/>
      <c r="J190" s="3">
        <f t="shared" si="57"/>
        <v>230000</v>
      </c>
      <c r="K190" s="108">
        <v>0</v>
      </c>
      <c r="L190" s="3">
        <f t="shared" si="58"/>
        <v>230000</v>
      </c>
    </row>
    <row r="191" spans="1:12" x14ac:dyDescent="0.3">
      <c r="A191" s="254"/>
      <c r="B191" s="268"/>
      <c r="C191" s="10" t="s">
        <v>44</v>
      </c>
      <c r="D191" s="3">
        <v>5677830</v>
      </c>
      <c r="E191" s="3">
        <v>3445547</v>
      </c>
      <c r="F191" s="3"/>
      <c r="G191" s="3"/>
      <c r="H191" s="3"/>
      <c r="I191" s="3"/>
      <c r="J191" s="3">
        <f t="shared" si="57"/>
        <v>3445547</v>
      </c>
      <c r="K191" s="108">
        <v>1572297</v>
      </c>
      <c r="L191" s="3">
        <f t="shared" si="58"/>
        <v>1873250</v>
      </c>
    </row>
    <row r="192" spans="1:12" x14ac:dyDescent="0.3">
      <c r="A192" s="254"/>
      <c r="B192" s="268"/>
      <c r="C192" s="10" t="s">
        <v>45</v>
      </c>
      <c r="D192" s="3">
        <v>229990</v>
      </c>
      <c r="E192" s="3">
        <v>229990</v>
      </c>
      <c r="F192" s="3"/>
      <c r="G192" s="3"/>
      <c r="H192" s="3"/>
      <c r="I192" s="3"/>
      <c r="J192" s="3">
        <f t="shared" si="57"/>
        <v>229990</v>
      </c>
      <c r="K192" s="108">
        <v>0</v>
      </c>
      <c r="L192" s="3">
        <f t="shared" si="58"/>
        <v>229990</v>
      </c>
    </row>
    <row r="193" spans="1:12" x14ac:dyDescent="0.3">
      <c r="A193" s="254"/>
      <c r="B193" s="268"/>
      <c r="C193" s="6" t="s">
        <v>49</v>
      </c>
      <c r="D193" s="7">
        <f>SUM(D185:D192)</f>
        <v>46650091</v>
      </c>
      <c r="E193" s="7">
        <v>31875541</v>
      </c>
      <c r="F193" s="7">
        <f t="shared" ref="F193:L193" si="61">SUM(F185:F192)</f>
        <v>0</v>
      </c>
      <c r="G193" s="7">
        <f t="shared" si="61"/>
        <v>0</v>
      </c>
      <c r="H193" s="7">
        <f t="shared" si="61"/>
        <v>0</v>
      </c>
      <c r="I193" s="7">
        <f t="shared" si="61"/>
        <v>0</v>
      </c>
      <c r="J193" s="7">
        <f t="shared" si="61"/>
        <v>31875541</v>
      </c>
      <c r="K193" s="110">
        <f t="shared" si="61"/>
        <v>8139526</v>
      </c>
      <c r="L193" s="7">
        <f t="shared" si="61"/>
        <v>23736015</v>
      </c>
    </row>
    <row r="194" spans="1:12" x14ac:dyDescent="0.3">
      <c r="A194" s="254"/>
      <c r="B194" s="268"/>
      <c r="C194" s="10" t="s">
        <v>56</v>
      </c>
      <c r="D194" s="3">
        <v>0</v>
      </c>
      <c r="E194" s="3">
        <v>0</v>
      </c>
      <c r="F194" s="3"/>
      <c r="G194" s="3"/>
      <c r="H194" s="3"/>
      <c r="I194" s="3"/>
      <c r="J194" s="3">
        <f t="shared" ref="J194:J196" si="62">E194+F194+G194+H194+I194</f>
        <v>0</v>
      </c>
      <c r="K194" s="108">
        <v>0</v>
      </c>
      <c r="L194" s="3">
        <f t="shared" ref="L194:L196" si="63">J194-K194</f>
        <v>0</v>
      </c>
    </row>
    <row r="195" spans="1:12" x14ac:dyDescent="0.3">
      <c r="A195" s="254"/>
      <c r="B195" s="268"/>
      <c r="C195" s="10" t="s">
        <v>50</v>
      </c>
      <c r="D195" s="3">
        <v>3740</v>
      </c>
      <c r="E195" s="3">
        <v>3740</v>
      </c>
      <c r="F195" s="3"/>
      <c r="G195" s="3"/>
      <c r="H195" s="3"/>
      <c r="I195" s="3"/>
      <c r="J195" s="3">
        <f t="shared" si="62"/>
        <v>3740</v>
      </c>
      <c r="K195" s="108">
        <v>0</v>
      </c>
      <c r="L195" s="3">
        <f t="shared" si="63"/>
        <v>3740</v>
      </c>
    </row>
    <row r="196" spans="1:12" x14ac:dyDescent="0.3">
      <c r="A196" s="254"/>
      <c r="B196" s="268"/>
      <c r="C196" s="10" t="s">
        <v>51</v>
      </c>
      <c r="D196" s="3">
        <v>1010</v>
      </c>
      <c r="E196" s="3">
        <v>1010</v>
      </c>
      <c r="F196" s="3"/>
      <c r="G196" s="3"/>
      <c r="H196" s="3"/>
      <c r="I196" s="3"/>
      <c r="J196" s="3">
        <f t="shared" si="62"/>
        <v>1010</v>
      </c>
      <c r="K196" s="108">
        <v>0</v>
      </c>
      <c r="L196" s="3">
        <f t="shared" si="63"/>
        <v>1010</v>
      </c>
    </row>
    <row r="197" spans="1:12" x14ac:dyDescent="0.3">
      <c r="A197" s="254"/>
      <c r="B197" s="268"/>
      <c r="C197" s="6" t="s">
        <v>52</v>
      </c>
      <c r="D197" s="7">
        <f>SUM(D194:D196)</f>
        <v>4750</v>
      </c>
      <c r="E197" s="7">
        <v>4750</v>
      </c>
      <c r="F197" s="7">
        <f t="shared" ref="F197:L197" si="64">SUM(F194:F196)</f>
        <v>0</v>
      </c>
      <c r="G197" s="7">
        <f t="shared" si="64"/>
        <v>0</v>
      </c>
      <c r="H197" s="7">
        <f t="shared" si="64"/>
        <v>0</v>
      </c>
      <c r="I197" s="7">
        <f t="shared" si="64"/>
        <v>0</v>
      </c>
      <c r="J197" s="7">
        <f t="shared" si="64"/>
        <v>4750</v>
      </c>
      <c r="K197" s="110">
        <f t="shared" si="64"/>
        <v>0</v>
      </c>
      <c r="L197" s="7">
        <f t="shared" si="64"/>
        <v>4750</v>
      </c>
    </row>
    <row r="198" spans="1:12" x14ac:dyDescent="0.3">
      <c r="A198" s="254"/>
      <c r="B198" s="265"/>
      <c r="C198" s="10" t="s">
        <v>57</v>
      </c>
      <c r="D198" s="3">
        <v>0</v>
      </c>
      <c r="E198" s="3">
        <v>10500000</v>
      </c>
      <c r="F198" s="3"/>
      <c r="G198" s="3"/>
      <c r="H198" s="3"/>
      <c r="I198" s="3"/>
      <c r="J198" s="3">
        <f t="shared" ref="J198" si="65">E198+F198+G198+H198+I198</f>
        <v>10500000</v>
      </c>
      <c r="K198" s="108">
        <v>10500000</v>
      </c>
      <c r="L198" s="3">
        <f t="shared" ref="L198" si="66">J198-K198</f>
        <v>0</v>
      </c>
    </row>
    <row r="199" spans="1:12" x14ac:dyDescent="0.3">
      <c r="A199" s="319" t="s">
        <v>81</v>
      </c>
      <c r="B199" s="320"/>
      <c r="C199" s="321"/>
      <c r="D199" s="80">
        <f>SUM(D183+D184+D193+D197+D198)</f>
        <v>60094558</v>
      </c>
      <c r="E199" s="80">
        <v>60094558</v>
      </c>
      <c r="F199" s="80">
        <f t="shared" ref="F199:L199" si="67">SUM(F183+F184+F193+F197+F198)</f>
        <v>0</v>
      </c>
      <c r="G199" s="80">
        <f t="shared" si="67"/>
        <v>0</v>
      </c>
      <c r="H199" s="80">
        <f t="shared" si="67"/>
        <v>0</v>
      </c>
      <c r="I199" s="80">
        <f t="shared" si="67"/>
        <v>0</v>
      </c>
      <c r="J199" s="80">
        <f t="shared" si="67"/>
        <v>60094558</v>
      </c>
      <c r="K199" s="112">
        <f t="shared" si="67"/>
        <v>31172807</v>
      </c>
      <c r="L199" s="80">
        <f t="shared" si="67"/>
        <v>28921751</v>
      </c>
    </row>
    <row r="200" spans="1:12" x14ac:dyDescent="0.3">
      <c r="A200" s="285" t="s">
        <v>85</v>
      </c>
      <c r="B200" s="264" t="s">
        <v>46</v>
      </c>
      <c r="C200" s="12" t="s">
        <v>24</v>
      </c>
      <c r="D200" s="3">
        <v>9880165</v>
      </c>
      <c r="E200" s="3">
        <v>9562762</v>
      </c>
      <c r="F200" s="3"/>
      <c r="G200" s="3"/>
      <c r="H200" s="3"/>
      <c r="I200" s="3"/>
      <c r="J200" s="20">
        <f t="shared" ref="J200:J205" si="68">E200+F200+G200+H200+I200</f>
        <v>9562762</v>
      </c>
      <c r="K200" s="108">
        <v>8503029</v>
      </c>
      <c r="L200" s="3">
        <f t="shared" ref="L200:L205" si="69">J200-K200</f>
        <v>1059733</v>
      </c>
    </row>
    <row r="201" spans="1:12" x14ac:dyDescent="0.3">
      <c r="A201" s="285"/>
      <c r="B201" s="268"/>
      <c r="C201" s="12" t="s">
        <v>25</v>
      </c>
      <c r="D201" s="3">
        <v>400000</v>
      </c>
      <c r="E201" s="3">
        <v>400000</v>
      </c>
      <c r="F201" s="3"/>
      <c r="G201" s="3"/>
      <c r="H201" s="3"/>
      <c r="I201" s="3"/>
      <c r="J201" s="20">
        <f t="shared" si="68"/>
        <v>400000</v>
      </c>
      <c r="K201" s="108">
        <v>400000</v>
      </c>
      <c r="L201" s="3">
        <f t="shared" si="69"/>
        <v>0</v>
      </c>
    </row>
    <row r="202" spans="1:12" x14ac:dyDescent="0.3">
      <c r="A202" s="285"/>
      <c r="B202" s="268"/>
      <c r="C202" s="12" t="s">
        <v>26</v>
      </c>
      <c r="D202" s="3">
        <v>20000</v>
      </c>
      <c r="E202" s="3">
        <v>20000</v>
      </c>
      <c r="F202" s="3"/>
      <c r="G202" s="3"/>
      <c r="H202" s="3"/>
      <c r="I202" s="3"/>
      <c r="J202" s="20">
        <f t="shared" si="68"/>
        <v>20000</v>
      </c>
      <c r="K202" s="108">
        <v>20000</v>
      </c>
      <c r="L202" s="3">
        <f t="shared" si="69"/>
        <v>0</v>
      </c>
    </row>
    <row r="203" spans="1:12" x14ac:dyDescent="0.3">
      <c r="A203" s="285"/>
      <c r="B203" s="268"/>
      <c r="C203" s="2" t="s">
        <v>27</v>
      </c>
      <c r="D203" s="3">
        <v>75000</v>
      </c>
      <c r="E203" s="3">
        <v>90912</v>
      </c>
      <c r="F203" s="3"/>
      <c r="G203" s="3"/>
      <c r="H203" s="3"/>
      <c r="I203" s="3"/>
      <c r="J203" s="20">
        <f t="shared" si="68"/>
        <v>90912</v>
      </c>
      <c r="K203" s="108">
        <v>30600</v>
      </c>
      <c r="L203" s="3">
        <f t="shared" si="69"/>
        <v>60312</v>
      </c>
    </row>
    <row r="204" spans="1:12" x14ac:dyDescent="0.3">
      <c r="A204" s="285"/>
      <c r="B204" s="268"/>
      <c r="C204" s="2" t="s">
        <v>28</v>
      </c>
      <c r="D204" s="3">
        <v>48000</v>
      </c>
      <c r="E204" s="3">
        <v>48000</v>
      </c>
      <c r="F204" s="3"/>
      <c r="G204" s="3"/>
      <c r="H204" s="3"/>
      <c r="I204" s="3"/>
      <c r="J204" s="20">
        <f t="shared" si="68"/>
        <v>48000</v>
      </c>
      <c r="K204" s="108">
        <v>48000</v>
      </c>
      <c r="L204" s="3">
        <f t="shared" si="69"/>
        <v>0</v>
      </c>
    </row>
    <row r="205" spans="1:12" x14ac:dyDescent="0.3">
      <c r="A205" s="285"/>
      <c r="B205" s="268"/>
      <c r="C205" s="2" t="s">
        <v>29</v>
      </c>
      <c r="D205" s="3">
        <v>264000</v>
      </c>
      <c r="E205" s="3">
        <v>670126</v>
      </c>
      <c r="F205" s="3"/>
      <c r="G205" s="3"/>
      <c r="H205" s="3"/>
      <c r="I205" s="3"/>
      <c r="J205" s="20">
        <f t="shared" si="68"/>
        <v>670126</v>
      </c>
      <c r="K205" s="108">
        <v>521726</v>
      </c>
      <c r="L205" s="3">
        <f t="shared" si="69"/>
        <v>148400</v>
      </c>
    </row>
    <row r="206" spans="1:12" x14ac:dyDescent="0.3">
      <c r="A206" s="285"/>
      <c r="B206" s="268"/>
      <c r="C206" s="26" t="s">
        <v>53</v>
      </c>
      <c r="D206" s="7">
        <f>SUM(D200:D205)</f>
        <v>10687165</v>
      </c>
      <c r="E206" s="7">
        <v>10791800</v>
      </c>
      <c r="F206" s="7">
        <f t="shared" ref="F206:L206" si="70">SUM(F200:F205)</f>
        <v>0</v>
      </c>
      <c r="G206" s="7">
        <f t="shared" si="70"/>
        <v>0</v>
      </c>
      <c r="H206" s="7">
        <f t="shared" si="70"/>
        <v>0</v>
      </c>
      <c r="I206" s="7">
        <f t="shared" si="70"/>
        <v>0</v>
      </c>
      <c r="J206" s="7">
        <f t="shared" si="70"/>
        <v>10791800</v>
      </c>
      <c r="K206" s="110">
        <f t="shared" si="70"/>
        <v>9523355</v>
      </c>
      <c r="L206" s="7">
        <f t="shared" si="70"/>
        <v>1268445</v>
      </c>
    </row>
    <row r="207" spans="1:12" x14ac:dyDescent="0.3">
      <c r="A207" s="285"/>
      <c r="B207" s="268"/>
      <c r="C207" s="86" t="s">
        <v>31</v>
      </c>
      <c r="D207" s="87">
        <v>2120857</v>
      </c>
      <c r="E207" s="87">
        <v>2120857</v>
      </c>
      <c r="F207" s="88"/>
      <c r="G207" s="88"/>
      <c r="H207" s="88"/>
      <c r="I207" s="88"/>
      <c r="J207" s="84">
        <f t="shared" ref="J207:J215" si="71">E207+F207+G207+H207+I207</f>
        <v>2120857</v>
      </c>
      <c r="K207" s="111">
        <v>1872358</v>
      </c>
      <c r="L207" s="85">
        <f t="shared" ref="L207:L215" si="72">J207-K207</f>
        <v>248499</v>
      </c>
    </row>
    <row r="208" spans="1:12" x14ac:dyDescent="0.3">
      <c r="A208" s="285"/>
      <c r="B208" s="268"/>
      <c r="C208" s="172" t="s">
        <v>32</v>
      </c>
      <c r="D208" s="169">
        <v>0</v>
      </c>
      <c r="E208" s="169">
        <v>13514</v>
      </c>
      <c r="F208" s="169">
        <v>20000</v>
      </c>
      <c r="G208" s="169"/>
      <c r="H208" s="169"/>
      <c r="I208" s="169"/>
      <c r="J208" s="170">
        <f t="shared" si="71"/>
        <v>33514</v>
      </c>
      <c r="K208" s="114">
        <v>13514</v>
      </c>
      <c r="L208" s="171">
        <f t="shared" si="72"/>
        <v>20000</v>
      </c>
    </row>
    <row r="209" spans="1:12" x14ac:dyDescent="0.3">
      <c r="A209" s="285"/>
      <c r="B209" s="268"/>
      <c r="C209" s="99" t="s">
        <v>33</v>
      </c>
      <c r="D209" s="100">
        <v>0</v>
      </c>
      <c r="E209" s="100">
        <v>186928</v>
      </c>
      <c r="F209" s="100"/>
      <c r="G209" s="100"/>
      <c r="H209" s="100"/>
      <c r="I209" s="100"/>
      <c r="J209" s="20">
        <f t="shared" si="71"/>
        <v>186928</v>
      </c>
      <c r="K209" s="114">
        <v>30769</v>
      </c>
      <c r="L209" s="3">
        <f t="shared" si="72"/>
        <v>156159</v>
      </c>
    </row>
    <row r="210" spans="1:12" x14ac:dyDescent="0.3">
      <c r="A210" s="285"/>
      <c r="B210" s="268"/>
      <c r="C210" s="46" t="s">
        <v>35</v>
      </c>
      <c r="D210" s="47">
        <v>0</v>
      </c>
      <c r="E210" s="47">
        <v>172800</v>
      </c>
      <c r="F210" s="47">
        <v>20000</v>
      </c>
      <c r="G210" s="47"/>
      <c r="H210" s="47"/>
      <c r="I210" s="47"/>
      <c r="J210" s="20">
        <f t="shared" si="71"/>
        <v>192800</v>
      </c>
      <c r="K210" s="114">
        <v>39564</v>
      </c>
      <c r="L210" s="3">
        <f t="shared" si="72"/>
        <v>153236</v>
      </c>
    </row>
    <row r="211" spans="1:12" x14ac:dyDescent="0.3">
      <c r="A211" s="285"/>
      <c r="B211" s="268"/>
      <c r="C211" s="98" t="s">
        <v>38</v>
      </c>
      <c r="D211" s="47">
        <v>0</v>
      </c>
      <c r="E211" s="47">
        <v>8500</v>
      </c>
      <c r="F211" s="47">
        <v>20000</v>
      </c>
      <c r="G211" s="47"/>
      <c r="H211" s="47"/>
      <c r="I211" s="47"/>
      <c r="J211" s="20">
        <f t="shared" si="71"/>
        <v>28500</v>
      </c>
      <c r="K211" s="114">
        <v>8300</v>
      </c>
      <c r="L211" s="3">
        <f t="shared" si="72"/>
        <v>20200</v>
      </c>
    </row>
    <row r="212" spans="1:12" x14ac:dyDescent="0.3">
      <c r="A212" s="285"/>
      <c r="B212" s="268"/>
      <c r="C212" s="131" t="s">
        <v>41</v>
      </c>
      <c r="D212" s="47">
        <v>0</v>
      </c>
      <c r="E212" s="47">
        <v>21685</v>
      </c>
      <c r="F212" s="47"/>
      <c r="G212" s="47"/>
      <c r="H212" s="47"/>
      <c r="I212" s="47"/>
      <c r="J212" s="20">
        <f t="shared" si="71"/>
        <v>21685</v>
      </c>
      <c r="K212" s="114">
        <v>1685</v>
      </c>
      <c r="L212" s="3">
        <f t="shared" si="72"/>
        <v>20000</v>
      </c>
    </row>
    <row r="213" spans="1:12" x14ac:dyDescent="0.3">
      <c r="A213" s="285"/>
      <c r="B213" s="268"/>
      <c r="C213" s="46" t="s">
        <v>42</v>
      </c>
      <c r="D213" s="47">
        <v>0</v>
      </c>
      <c r="E213" s="47">
        <v>128910</v>
      </c>
      <c r="F213" s="47">
        <v>100000</v>
      </c>
      <c r="G213" s="47"/>
      <c r="H213" s="47"/>
      <c r="I213" s="47"/>
      <c r="J213" s="20">
        <f t="shared" si="71"/>
        <v>228910</v>
      </c>
      <c r="K213" s="114">
        <v>100500</v>
      </c>
      <c r="L213" s="3">
        <f t="shared" si="72"/>
        <v>128410</v>
      </c>
    </row>
    <row r="214" spans="1:12" x14ac:dyDescent="0.3">
      <c r="A214" s="285"/>
      <c r="B214" s="268"/>
      <c r="C214" s="46" t="s">
        <v>44</v>
      </c>
      <c r="D214" s="47">
        <v>0</v>
      </c>
      <c r="E214" s="47">
        <v>112541</v>
      </c>
      <c r="F214" s="47">
        <v>31295</v>
      </c>
      <c r="G214" s="47"/>
      <c r="H214" s="47"/>
      <c r="I214" s="47"/>
      <c r="J214" s="20">
        <f t="shared" si="71"/>
        <v>143836</v>
      </c>
      <c r="K214" s="114">
        <v>44015</v>
      </c>
      <c r="L214" s="3">
        <f t="shared" si="72"/>
        <v>99821</v>
      </c>
    </row>
    <row r="215" spans="1:12" x14ac:dyDescent="0.3">
      <c r="A215" s="285"/>
      <c r="B215" s="268"/>
      <c r="C215" s="46" t="s">
        <v>45</v>
      </c>
      <c r="D215" s="47">
        <v>0</v>
      </c>
      <c r="E215" s="47">
        <v>329654</v>
      </c>
      <c r="F215" s="47">
        <v>50000</v>
      </c>
      <c r="G215" s="47"/>
      <c r="H215" s="47"/>
      <c r="I215" s="47"/>
      <c r="J215" s="20">
        <f t="shared" si="71"/>
        <v>379654</v>
      </c>
      <c r="K215" s="114">
        <v>237279</v>
      </c>
      <c r="L215" s="3">
        <f t="shared" si="72"/>
        <v>142375</v>
      </c>
    </row>
    <row r="216" spans="1:12" x14ac:dyDescent="0.3">
      <c r="A216" s="263"/>
      <c r="B216" s="265"/>
      <c r="C216" s="49" t="s">
        <v>49</v>
      </c>
      <c r="D216" s="50">
        <f t="shared" ref="D216:I216" si="73">SUM(D208:D215)</f>
        <v>0</v>
      </c>
      <c r="E216" s="50">
        <v>974532</v>
      </c>
      <c r="F216" s="50">
        <f t="shared" si="73"/>
        <v>241295</v>
      </c>
      <c r="G216" s="50">
        <f t="shared" si="73"/>
        <v>0</v>
      </c>
      <c r="H216" s="50">
        <f t="shared" si="73"/>
        <v>0</v>
      </c>
      <c r="I216" s="50">
        <f t="shared" si="73"/>
        <v>0</v>
      </c>
      <c r="J216" s="50">
        <f>SUM(J208:J215)</f>
        <v>1215827</v>
      </c>
      <c r="K216" s="50">
        <f t="shared" ref="K216:L216" si="74">SUM(K208:K215)</f>
        <v>475626</v>
      </c>
      <c r="L216" s="50">
        <f t="shared" si="74"/>
        <v>740201</v>
      </c>
    </row>
    <row r="217" spans="1:12" x14ac:dyDescent="0.3">
      <c r="A217" s="254" t="s">
        <v>68</v>
      </c>
      <c r="B217" s="279" t="s">
        <v>46</v>
      </c>
      <c r="C217" s="16" t="s">
        <v>24</v>
      </c>
      <c r="D217" s="17">
        <v>2501556</v>
      </c>
      <c r="E217" s="17">
        <v>2501556</v>
      </c>
      <c r="F217" s="17"/>
      <c r="G217" s="17"/>
      <c r="H217" s="17">
        <v>5602</v>
      </c>
      <c r="I217" s="17"/>
      <c r="J217" s="20">
        <f>E217+F217+G217+H217+I217</f>
        <v>2507158</v>
      </c>
      <c r="K217" s="108">
        <v>2348572</v>
      </c>
      <c r="L217" s="3">
        <f t="shared" ref="L217:L218" si="75">J217-K217</f>
        <v>158586</v>
      </c>
    </row>
    <row r="218" spans="1:12" x14ac:dyDescent="0.3">
      <c r="A218" s="262"/>
      <c r="B218" s="280"/>
      <c r="C218" s="18" t="s">
        <v>31</v>
      </c>
      <c r="D218" s="19">
        <v>466569</v>
      </c>
      <c r="E218" s="19">
        <v>466569</v>
      </c>
      <c r="F218" s="19"/>
      <c r="G218" s="19"/>
      <c r="H218" s="19">
        <v>1273</v>
      </c>
      <c r="I218" s="19"/>
      <c r="J218" s="20">
        <f t="shared" ref="J218" si="76">E218+F218+G218+H218+I218</f>
        <v>467842</v>
      </c>
      <c r="K218" s="108">
        <v>440088</v>
      </c>
      <c r="L218" s="3">
        <f t="shared" si="75"/>
        <v>27754</v>
      </c>
    </row>
    <row r="219" spans="1:12" x14ac:dyDescent="0.3">
      <c r="A219" s="319" t="s">
        <v>82</v>
      </c>
      <c r="B219" s="320"/>
      <c r="C219" s="321"/>
      <c r="D219" s="78">
        <f>SUM(D206+D207+D217+D218+D216)</f>
        <v>15776147</v>
      </c>
      <c r="E219" s="78">
        <f t="shared" ref="E219:I219" si="77">SUM(E206+E207+E217+E218+E216)</f>
        <v>16855314</v>
      </c>
      <c r="F219" s="78">
        <f t="shared" si="77"/>
        <v>241295</v>
      </c>
      <c r="G219" s="78">
        <f t="shared" si="77"/>
        <v>0</v>
      </c>
      <c r="H219" s="78">
        <f t="shared" si="77"/>
        <v>6875</v>
      </c>
      <c r="I219" s="78">
        <f t="shared" si="77"/>
        <v>0</v>
      </c>
      <c r="J219" s="78">
        <f>SUM(J206+J207+J217+J218+J216)</f>
        <v>17103484</v>
      </c>
      <c r="K219" s="116">
        <f>SUM(K206+K207+K217+K218+K216)</f>
        <v>14659999</v>
      </c>
      <c r="L219" s="79">
        <f>SUM(L206+L207+L217+L218+L216)</f>
        <v>2443485</v>
      </c>
    </row>
    <row r="220" spans="1:12" ht="30.75" customHeight="1" x14ac:dyDescent="0.3">
      <c r="A220" s="372" t="s">
        <v>74</v>
      </c>
      <c r="B220" s="373"/>
      <c r="C220" s="374"/>
      <c r="D220" s="163">
        <f t="shared" ref="D220:K220" si="78">SUM(D89+D114+D136+D157+D180+D199+D219)</f>
        <v>230443641</v>
      </c>
      <c r="E220" s="163">
        <f t="shared" si="78"/>
        <v>231861839</v>
      </c>
      <c r="F220" s="163">
        <f t="shared" si="78"/>
        <v>0</v>
      </c>
      <c r="G220" s="163">
        <f t="shared" si="78"/>
        <v>-420313</v>
      </c>
      <c r="H220" s="163">
        <f t="shared" si="78"/>
        <v>-1071771</v>
      </c>
      <c r="I220" s="163">
        <f t="shared" si="78"/>
        <v>0</v>
      </c>
      <c r="J220" s="163">
        <f t="shared" si="78"/>
        <v>230369755</v>
      </c>
      <c r="K220" s="164">
        <f t="shared" si="78"/>
        <v>174204754</v>
      </c>
      <c r="L220" s="163">
        <f>SUM(L89+L114+L136+L157+L180+L199+L219)</f>
        <v>56165001</v>
      </c>
    </row>
    <row r="221" spans="1:12" x14ac:dyDescent="0.3">
      <c r="B221" s="5"/>
      <c r="E221" s="4"/>
      <c r="F221" s="4"/>
      <c r="G221" s="4"/>
      <c r="H221" s="4"/>
      <c r="I221" s="4"/>
      <c r="J221" s="4"/>
      <c r="K221" s="107"/>
    </row>
    <row r="222" spans="1:12" x14ac:dyDescent="0.3">
      <c r="B222" s="5"/>
      <c r="E222" s="4"/>
      <c r="F222" s="4"/>
      <c r="G222" s="4"/>
      <c r="H222" s="4"/>
      <c r="I222" s="4"/>
      <c r="J222" s="4"/>
      <c r="K222" s="107"/>
    </row>
    <row r="223" spans="1:12" x14ac:dyDescent="0.3">
      <c r="B223" s="5"/>
      <c r="E223" s="4"/>
      <c r="F223" s="4"/>
      <c r="G223" s="4"/>
      <c r="H223" s="4"/>
      <c r="I223" s="4"/>
      <c r="J223" s="4"/>
      <c r="K223" s="107"/>
    </row>
    <row r="224" spans="1:12" x14ac:dyDescent="0.3">
      <c r="B224" s="5"/>
      <c r="E224" s="4"/>
      <c r="F224" s="4"/>
      <c r="G224" s="4"/>
      <c r="H224" s="4"/>
      <c r="I224" s="4"/>
      <c r="J224" s="4"/>
      <c r="K224" s="107"/>
    </row>
    <row r="225" spans="1:11" x14ac:dyDescent="0.3">
      <c r="B225" s="5"/>
      <c r="E225" s="4"/>
      <c r="F225" s="4"/>
      <c r="G225" s="4"/>
      <c r="H225" s="4"/>
      <c r="I225" s="4"/>
      <c r="J225" s="4"/>
      <c r="K225" s="107"/>
    </row>
    <row r="226" spans="1:11" ht="15" thickBot="1" x14ac:dyDescent="0.35">
      <c r="B226" s="5"/>
      <c r="E226" s="4"/>
      <c r="F226" s="4"/>
      <c r="G226" s="130">
        <v>43769</v>
      </c>
      <c r="H226" s="4"/>
      <c r="I226" s="4"/>
      <c r="J226" s="4"/>
      <c r="K226" s="107"/>
    </row>
    <row r="227" spans="1:11" ht="15" thickTop="1" x14ac:dyDescent="0.3">
      <c r="A227" s="283" t="s">
        <v>83</v>
      </c>
      <c r="B227" s="283"/>
      <c r="C227" s="283"/>
      <c r="D227" s="283"/>
      <c r="E227" s="283"/>
      <c r="F227" s="283"/>
      <c r="G227" s="283"/>
      <c r="H227" s="283"/>
      <c r="I227" s="283"/>
      <c r="J227" s="283"/>
      <c r="K227" s="283"/>
    </row>
    <row r="228" spans="1:11" s="168" customFormat="1" ht="33.75" customHeight="1" x14ac:dyDescent="0.3">
      <c r="A228" s="323" t="s">
        <v>0</v>
      </c>
      <c r="B228" s="324"/>
      <c r="C228" s="71" t="s">
        <v>3</v>
      </c>
      <c r="D228" s="71" t="s">
        <v>4</v>
      </c>
      <c r="E228" s="73" t="s">
        <v>119</v>
      </c>
      <c r="F228" s="167" t="s">
        <v>70</v>
      </c>
      <c r="G228" s="105" t="s">
        <v>163</v>
      </c>
      <c r="H228" s="106" t="s">
        <v>71</v>
      </c>
      <c r="I228" s="73" t="s">
        <v>71</v>
      </c>
      <c r="J228" s="73" t="s">
        <v>159</v>
      </c>
      <c r="K228" s="74" t="s">
        <v>161</v>
      </c>
    </row>
    <row r="229" spans="1:11" x14ac:dyDescent="0.3">
      <c r="A229" s="325"/>
      <c r="B229" s="326"/>
      <c r="C229" s="33" t="s">
        <v>16</v>
      </c>
      <c r="D229" s="34">
        <f t="shared" ref="D229:K230" si="79">D5+D15+D17+D19+D21+D23</f>
        <v>117230959</v>
      </c>
      <c r="E229" s="34">
        <f t="shared" si="79"/>
        <v>115273157</v>
      </c>
      <c r="F229" s="34">
        <f t="shared" si="79"/>
        <v>0</v>
      </c>
      <c r="G229" s="34">
        <f t="shared" si="79"/>
        <v>0</v>
      </c>
      <c r="H229" s="34">
        <f t="shared" si="79"/>
        <v>0</v>
      </c>
      <c r="I229" s="34">
        <f t="shared" si="79"/>
        <v>0</v>
      </c>
      <c r="J229" s="34">
        <f t="shared" si="79"/>
        <v>115273157</v>
      </c>
      <c r="K229" s="34">
        <f t="shared" si="79"/>
        <v>84543777</v>
      </c>
    </row>
    <row r="230" spans="1:11" x14ac:dyDescent="0.3">
      <c r="A230" s="325"/>
      <c r="B230" s="326"/>
      <c r="C230" s="33" t="s">
        <v>17</v>
      </c>
      <c r="D230" s="34">
        <f t="shared" si="79"/>
        <v>16012810</v>
      </c>
      <c r="E230" s="34">
        <f t="shared" si="79"/>
        <v>16012810</v>
      </c>
      <c r="F230" s="34">
        <f t="shared" si="79"/>
        <v>0</v>
      </c>
      <c r="G230" s="34">
        <f t="shared" si="79"/>
        <v>0</v>
      </c>
      <c r="H230" s="34">
        <f t="shared" si="79"/>
        <v>0</v>
      </c>
      <c r="I230" s="34">
        <f t="shared" si="79"/>
        <v>0</v>
      </c>
      <c r="J230" s="34">
        <f t="shared" si="79"/>
        <v>16012810</v>
      </c>
      <c r="K230" s="34">
        <f t="shared" si="79"/>
        <v>16012810</v>
      </c>
    </row>
    <row r="231" spans="1:11" x14ac:dyDescent="0.3">
      <c r="A231" s="325"/>
      <c r="B231" s="326"/>
      <c r="C231" s="33" t="s">
        <v>18</v>
      </c>
      <c r="D231" s="34">
        <f t="shared" ref="D231:K233" si="80">D8</f>
        <v>96985672</v>
      </c>
      <c r="E231" s="34">
        <f t="shared" si="80"/>
        <v>100329672</v>
      </c>
      <c r="F231" s="34">
        <f t="shared" si="80"/>
        <v>0</v>
      </c>
      <c r="G231" s="34">
        <f t="shared" si="80"/>
        <v>-420313</v>
      </c>
      <c r="H231" s="34">
        <f t="shared" si="80"/>
        <v>-1071771</v>
      </c>
      <c r="I231" s="34">
        <f t="shared" si="80"/>
        <v>0</v>
      </c>
      <c r="J231" s="34">
        <f t="shared" si="80"/>
        <v>98837588</v>
      </c>
      <c r="K231" s="34">
        <f t="shared" si="80"/>
        <v>82183746</v>
      </c>
    </row>
    <row r="232" spans="1:11" x14ac:dyDescent="0.3">
      <c r="A232" s="325"/>
      <c r="B232" s="326"/>
      <c r="C232" s="35" t="s">
        <v>22</v>
      </c>
      <c r="D232" s="34">
        <f>D9+D7</f>
        <v>200000</v>
      </c>
      <c r="E232" s="34">
        <f t="shared" ref="E232:K232" si="81">E9+E7</f>
        <v>200000</v>
      </c>
      <c r="F232" s="34">
        <f t="shared" si="81"/>
        <v>0</v>
      </c>
      <c r="G232" s="34">
        <f t="shared" si="81"/>
        <v>0</v>
      </c>
      <c r="H232" s="34">
        <f t="shared" si="81"/>
        <v>0</v>
      </c>
      <c r="I232" s="34">
        <f t="shared" si="81"/>
        <v>0</v>
      </c>
      <c r="J232" s="34">
        <f t="shared" si="81"/>
        <v>200000</v>
      </c>
      <c r="K232" s="34">
        <f t="shared" si="81"/>
        <v>200000</v>
      </c>
    </row>
    <row r="233" spans="1:11" x14ac:dyDescent="0.3">
      <c r="A233" s="325"/>
      <c r="B233" s="326"/>
      <c r="C233" s="35" t="s">
        <v>19</v>
      </c>
      <c r="D233" s="34">
        <f t="shared" si="80"/>
        <v>13200</v>
      </c>
      <c r="E233" s="34">
        <f t="shared" si="80"/>
        <v>31926</v>
      </c>
      <c r="F233" s="34">
        <f t="shared" si="80"/>
        <v>0</v>
      </c>
      <c r="G233" s="34">
        <f t="shared" si="80"/>
        <v>0</v>
      </c>
      <c r="H233" s="34">
        <f t="shared" si="80"/>
        <v>0</v>
      </c>
      <c r="I233" s="34">
        <f t="shared" si="80"/>
        <v>0</v>
      </c>
      <c r="J233" s="34">
        <f t="shared" si="80"/>
        <v>31926</v>
      </c>
      <c r="K233" s="34">
        <f t="shared" si="80"/>
        <v>25129</v>
      </c>
    </row>
    <row r="234" spans="1:11" x14ac:dyDescent="0.3">
      <c r="A234" s="325"/>
      <c r="B234" s="326"/>
      <c r="C234" s="35" t="s">
        <v>84</v>
      </c>
      <c r="D234" s="34">
        <f t="shared" ref="D234:K234" si="82">D14+D12</f>
        <v>0</v>
      </c>
      <c r="E234" s="34">
        <f t="shared" si="82"/>
        <v>12949</v>
      </c>
      <c r="F234" s="34">
        <f t="shared" si="82"/>
        <v>0</v>
      </c>
      <c r="G234" s="34">
        <f t="shared" si="82"/>
        <v>0</v>
      </c>
      <c r="H234" s="34">
        <f t="shared" si="82"/>
        <v>0</v>
      </c>
      <c r="I234" s="34">
        <f t="shared" si="82"/>
        <v>0</v>
      </c>
      <c r="J234" s="34">
        <f t="shared" si="82"/>
        <v>12949</v>
      </c>
      <c r="K234" s="34">
        <f t="shared" si="82"/>
        <v>7007</v>
      </c>
    </row>
    <row r="235" spans="1:11" x14ac:dyDescent="0.3">
      <c r="A235" s="325"/>
      <c r="B235" s="326"/>
      <c r="C235" s="33" t="s">
        <v>20</v>
      </c>
      <c r="D235" s="34">
        <f t="shared" ref="D235:K235" si="83">D11+D13</f>
        <v>1000</v>
      </c>
      <c r="E235" s="34">
        <f t="shared" si="83"/>
        <v>1325</v>
      </c>
      <c r="F235" s="34">
        <f t="shared" si="83"/>
        <v>0</v>
      </c>
      <c r="G235" s="34">
        <f t="shared" si="83"/>
        <v>0</v>
      </c>
      <c r="H235" s="34">
        <f t="shared" si="83"/>
        <v>0</v>
      </c>
      <c r="I235" s="34">
        <f t="shared" si="83"/>
        <v>0</v>
      </c>
      <c r="J235" s="34">
        <f t="shared" si="83"/>
        <v>1325</v>
      </c>
      <c r="K235" s="34">
        <f t="shared" si="83"/>
        <v>341</v>
      </c>
    </row>
    <row r="236" spans="1:11" x14ac:dyDescent="0.3">
      <c r="A236" s="325"/>
      <c r="B236" s="326"/>
      <c r="C236" s="63" t="s">
        <v>86</v>
      </c>
      <c r="D236" s="64">
        <f t="shared" ref="D236:K236" si="84">D14+D13+D12+D11+D10</f>
        <v>14200</v>
      </c>
      <c r="E236" s="64">
        <f t="shared" si="84"/>
        <v>46200</v>
      </c>
      <c r="F236" s="64">
        <f t="shared" si="84"/>
        <v>0</v>
      </c>
      <c r="G236" s="64">
        <f t="shared" si="84"/>
        <v>0</v>
      </c>
      <c r="H236" s="64">
        <f t="shared" si="84"/>
        <v>0</v>
      </c>
      <c r="I236" s="64">
        <f t="shared" si="84"/>
        <v>0</v>
      </c>
      <c r="J236" s="64">
        <f t="shared" si="84"/>
        <v>46200</v>
      </c>
      <c r="K236" s="64">
        <f t="shared" si="84"/>
        <v>32477</v>
      </c>
    </row>
    <row r="237" spans="1:11" x14ac:dyDescent="0.3">
      <c r="A237" s="325"/>
      <c r="B237" s="326"/>
      <c r="C237" s="63" t="s">
        <v>87</v>
      </c>
      <c r="D237" s="64">
        <f t="shared" ref="D237:K237" si="85">D24+D22+D20+D18+D16+D8+D6</f>
        <v>112998482</v>
      </c>
      <c r="E237" s="64">
        <f t="shared" si="85"/>
        <v>116342482</v>
      </c>
      <c r="F237" s="64">
        <f t="shared" si="85"/>
        <v>0</v>
      </c>
      <c r="G237" s="64">
        <f t="shared" si="85"/>
        <v>-420313</v>
      </c>
      <c r="H237" s="64">
        <f t="shared" si="85"/>
        <v>-1071771</v>
      </c>
      <c r="I237" s="64">
        <f t="shared" si="85"/>
        <v>0</v>
      </c>
      <c r="J237" s="64">
        <f t="shared" si="85"/>
        <v>114850398</v>
      </c>
      <c r="K237" s="64">
        <f t="shared" si="85"/>
        <v>98196556</v>
      </c>
    </row>
    <row r="238" spans="1:11" x14ac:dyDescent="0.3">
      <c r="A238" s="325"/>
      <c r="B238" s="326"/>
      <c r="C238" s="63" t="s">
        <v>94</v>
      </c>
      <c r="D238" s="64">
        <f t="shared" ref="D238:K238" si="86">D25</f>
        <v>230443641</v>
      </c>
      <c r="E238" s="64">
        <f t="shared" si="86"/>
        <v>231861839</v>
      </c>
      <c r="F238" s="64">
        <f t="shared" si="86"/>
        <v>0</v>
      </c>
      <c r="G238" s="64">
        <f t="shared" si="86"/>
        <v>-420313</v>
      </c>
      <c r="H238" s="64">
        <f t="shared" si="86"/>
        <v>-1071771</v>
      </c>
      <c r="I238" s="64">
        <f t="shared" si="86"/>
        <v>0</v>
      </c>
      <c r="J238" s="64">
        <f t="shared" si="86"/>
        <v>230369755</v>
      </c>
      <c r="K238" s="64">
        <f t="shared" si="86"/>
        <v>182972810</v>
      </c>
    </row>
    <row r="239" spans="1:11" x14ac:dyDescent="0.3">
      <c r="A239" s="325"/>
      <c r="B239" s="326"/>
      <c r="C239" s="33" t="s">
        <v>24</v>
      </c>
      <c r="D239" s="34">
        <f t="shared" ref="D239:I239" si="87">D90+D112+D115+D134+D137+D155+D158+D178+D200+D217+D181+D87+D85+D53+D26</f>
        <v>128356144</v>
      </c>
      <c r="E239" s="34">
        <f t="shared" si="87"/>
        <v>128328373</v>
      </c>
      <c r="F239" s="34">
        <f t="shared" si="87"/>
        <v>-556218</v>
      </c>
      <c r="G239" s="34">
        <f t="shared" si="87"/>
        <v>0</v>
      </c>
      <c r="H239" s="34">
        <f t="shared" si="87"/>
        <v>-908397</v>
      </c>
      <c r="I239" s="34">
        <f t="shared" si="87"/>
        <v>0</v>
      </c>
      <c r="J239" s="34">
        <f>J217+J200+J181+J178+J158+J155+J137+J134+J115+J112+J90+J87+J85+J53+J26</f>
        <v>126863758</v>
      </c>
      <c r="K239" s="34">
        <f>K217+K200+K181+K178+K158+K155+K137+K134+K115+K112+K90+K87+K85+K53+K26</f>
        <v>109384469</v>
      </c>
    </row>
    <row r="240" spans="1:11" x14ac:dyDescent="0.3">
      <c r="A240" s="325"/>
      <c r="B240" s="326"/>
      <c r="C240" s="33" t="s">
        <v>47</v>
      </c>
      <c r="D240" s="34">
        <f t="shared" ref="D240:K241" si="88">D54</f>
        <v>2040480</v>
      </c>
      <c r="E240" s="34">
        <f t="shared" si="88"/>
        <v>2040480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2040480</v>
      </c>
      <c r="K240" s="41">
        <f t="shared" si="88"/>
        <v>1755902</v>
      </c>
    </row>
    <row r="241" spans="1:11" x14ac:dyDescent="0.3">
      <c r="A241" s="325"/>
      <c r="B241" s="326"/>
      <c r="C241" s="33" t="s">
        <v>48</v>
      </c>
      <c r="D241" s="34">
        <f t="shared" si="88"/>
        <v>0</v>
      </c>
      <c r="E241" s="34">
        <f t="shared" si="88"/>
        <v>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0</v>
      </c>
      <c r="K241" s="34">
        <f t="shared" si="88"/>
        <v>0</v>
      </c>
    </row>
    <row r="242" spans="1:11" x14ac:dyDescent="0.3">
      <c r="A242" s="325"/>
      <c r="B242" s="326"/>
      <c r="C242" s="35" t="s">
        <v>25</v>
      </c>
      <c r="D242" s="34">
        <f t="shared" ref="D242:K243" si="89">D201+D159+D138+D116+D91+D56+D27</f>
        <v>3992000</v>
      </c>
      <c r="E242" s="34">
        <f t="shared" si="89"/>
        <v>3992000</v>
      </c>
      <c r="F242" s="34">
        <f t="shared" si="89"/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3992000</v>
      </c>
      <c r="K242" s="34">
        <f t="shared" si="89"/>
        <v>3752500</v>
      </c>
    </row>
    <row r="243" spans="1:11" x14ac:dyDescent="0.3">
      <c r="A243" s="325"/>
      <c r="B243" s="326"/>
      <c r="C243" s="35" t="s">
        <v>26</v>
      </c>
      <c r="D243" s="34">
        <f t="shared" si="89"/>
        <v>200000</v>
      </c>
      <c r="E243" s="34">
        <f t="shared" si="89"/>
        <v>200000</v>
      </c>
      <c r="F243" s="34">
        <f t="shared" si="89"/>
        <v>0</v>
      </c>
      <c r="G243" s="34">
        <f t="shared" si="89"/>
        <v>0</v>
      </c>
      <c r="H243" s="34">
        <f t="shared" si="89"/>
        <v>0</v>
      </c>
      <c r="I243" s="34">
        <f t="shared" si="89"/>
        <v>0</v>
      </c>
      <c r="J243" s="34">
        <f t="shared" si="89"/>
        <v>200000</v>
      </c>
      <c r="K243" s="34">
        <f t="shared" si="89"/>
        <v>185000</v>
      </c>
    </row>
    <row r="244" spans="1:11" x14ac:dyDescent="0.3">
      <c r="A244" s="325"/>
      <c r="B244" s="326"/>
      <c r="C244" s="33" t="s">
        <v>27</v>
      </c>
      <c r="D244" s="34">
        <f t="shared" ref="D244:K244" si="90">D203+D140+D93+D58+D29</f>
        <v>1661400</v>
      </c>
      <c r="E244" s="34">
        <f t="shared" si="90"/>
        <v>1661400</v>
      </c>
      <c r="F244" s="34">
        <f t="shared" si="90"/>
        <v>0</v>
      </c>
      <c r="G244" s="34">
        <f t="shared" si="90"/>
        <v>0</v>
      </c>
      <c r="H244" s="34">
        <f t="shared" si="90"/>
        <v>0</v>
      </c>
      <c r="I244" s="34">
        <f t="shared" si="90"/>
        <v>0</v>
      </c>
      <c r="J244" s="34">
        <f t="shared" si="90"/>
        <v>1661400</v>
      </c>
      <c r="K244" s="34">
        <f t="shared" si="90"/>
        <v>1155432</v>
      </c>
    </row>
    <row r="245" spans="1:11" x14ac:dyDescent="0.3">
      <c r="A245" s="325"/>
      <c r="B245" s="326"/>
      <c r="C245" s="35" t="s">
        <v>28</v>
      </c>
      <c r="D245" s="34">
        <f t="shared" ref="D245:K245" si="91">D204+D161+D141+D118+D59+D30+D94</f>
        <v>481000</v>
      </c>
      <c r="E245" s="34">
        <f t="shared" si="91"/>
        <v>481000</v>
      </c>
      <c r="F245" s="34">
        <f t="shared" si="91"/>
        <v>0</v>
      </c>
      <c r="G245" s="34">
        <f t="shared" si="91"/>
        <v>0</v>
      </c>
      <c r="H245" s="34">
        <f t="shared" si="91"/>
        <v>0</v>
      </c>
      <c r="I245" s="34">
        <f t="shared" si="91"/>
        <v>0</v>
      </c>
      <c r="J245" s="34">
        <f t="shared" si="91"/>
        <v>481000</v>
      </c>
      <c r="K245" s="34">
        <f t="shared" si="91"/>
        <v>444000</v>
      </c>
    </row>
    <row r="246" spans="1:11" x14ac:dyDescent="0.3">
      <c r="A246" s="325"/>
      <c r="B246" s="326"/>
      <c r="C246" s="33" t="s">
        <v>29</v>
      </c>
      <c r="D246" s="34">
        <f t="shared" ref="D246:K246" si="92">D205+D176+D162+D142+D119+D110+D95+D83+D81+D60+D31+D132</f>
        <v>3451400</v>
      </c>
      <c r="E246" s="34">
        <f t="shared" si="92"/>
        <v>4640408</v>
      </c>
      <c r="F246" s="34">
        <f t="shared" si="92"/>
        <v>528698</v>
      </c>
      <c r="G246" s="34">
        <f t="shared" si="92"/>
        <v>-355200</v>
      </c>
      <c r="H246" s="34">
        <f t="shared" si="92"/>
        <v>0</v>
      </c>
      <c r="I246" s="34">
        <f t="shared" si="92"/>
        <v>0</v>
      </c>
      <c r="J246" s="34">
        <f t="shared" si="92"/>
        <v>4813906</v>
      </c>
      <c r="K246" s="34">
        <f t="shared" si="92"/>
        <v>3719504</v>
      </c>
    </row>
    <row r="247" spans="1:11" x14ac:dyDescent="0.3">
      <c r="A247" s="325"/>
      <c r="B247" s="326"/>
      <c r="C247" s="35" t="s">
        <v>30</v>
      </c>
      <c r="D247" s="34">
        <f t="shared" ref="D247:J247" si="93">D163+D143+D120+D61+D32+D182+D96</f>
        <v>200000</v>
      </c>
      <c r="E247" s="34">
        <f t="shared" si="93"/>
        <v>200000</v>
      </c>
      <c r="F247" s="34">
        <f t="shared" si="93"/>
        <v>27520</v>
      </c>
      <c r="G247" s="34">
        <f t="shared" si="93"/>
        <v>0</v>
      </c>
      <c r="H247" s="34">
        <f t="shared" si="93"/>
        <v>0</v>
      </c>
      <c r="I247" s="34">
        <f t="shared" si="93"/>
        <v>0</v>
      </c>
      <c r="J247" s="34">
        <f t="shared" si="93"/>
        <v>227520</v>
      </c>
      <c r="K247" s="34">
        <f>K163+K143+K120+K61+K32+K182+K96</f>
        <v>163116</v>
      </c>
    </row>
    <row r="248" spans="1:11" x14ac:dyDescent="0.3">
      <c r="A248" s="325"/>
      <c r="B248" s="326"/>
      <c r="C248" s="63" t="s">
        <v>53</v>
      </c>
      <c r="D248" s="64">
        <f t="shared" ref="D248:K248" si="94">D206+D183+D164+D144+D217+D178+D155+D134+D132+D176+D121+D112+D110+D97+D87+D85+D83+D81+D62+D33</f>
        <v>140382424</v>
      </c>
      <c r="E248" s="64">
        <f t="shared" si="94"/>
        <v>141543661</v>
      </c>
      <c r="F248" s="64">
        <f t="shared" si="94"/>
        <v>0</v>
      </c>
      <c r="G248" s="64">
        <f t="shared" si="94"/>
        <v>-355200</v>
      </c>
      <c r="H248" s="64">
        <f t="shared" si="94"/>
        <v>-908397</v>
      </c>
      <c r="I248" s="64">
        <f t="shared" si="94"/>
        <v>0</v>
      </c>
      <c r="J248" s="64">
        <f t="shared" si="94"/>
        <v>140280064</v>
      </c>
      <c r="K248" s="64">
        <f t="shared" si="94"/>
        <v>120559923</v>
      </c>
    </row>
    <row r="249" spans="1:11" x14ac:dyDescent="0.3">
      <c r="A249" s="325"/>
      <c r="B249" s="326"/>
      <c r="C249" s="65" t="s">
        <v>31</v>
      </c>
      <c r="D249" s="64">
        <f t="shared" ref="D249:K249" si="95">D207+D184+D179+D177+D218+D165+D156+D145+D135+D133+D122+D113+D111+D98+D88+D86+D84+D82+D63+D34</f>
        <v>27536677</v>
      </c>
      <c r="E249" s="64">
        <f t="shared" si="95"/>
        <v>32036188</v>
      </c>
      <c r="F249" s="64">
        <f t="shared" si="95"/>
        <v>0</v>
      </c>
      <c r="G249" s="64">
        <f t="shared" si="95"/>
        <v>-65113</v>
      </c>
      <c r="H249" s="64">
        <f t="shared" si="95"/>
        <v>-163374</v>
      </c>
      <c r="I249" s="64">
        <f t="shared" si="95"/>
        <v>0</v>
      </c>
      <c r="J249" s="64">
        <f t="shared" si="95"/>
        <v>31807701</v>
      </c>
      <c r="K249" s="64">
        <f t="shared" si="95"/>
        <v>26560157</v>
      </c>
    </row>
    <row r="250" spans="1:11" x14ac:dyDescent="0.3">
      <c r="A250" s="325"/>
      <c r="B250" s="326"/>
      <c r="C250" s="33" t="s">
        <v>32</v>
      </c>
      <c r="D250" s="34">
        <f t="shared" ref="D250:K250" si="96">D166+D146+D123+D99+D64+D35+D208</f>
        <v>540000</v>
      </c>
      <c r="E250" s="34">
        <f t="shared" si="96"/>
        <v>500000</v>
      </c>
      <c r="F250" s="34">
        <f t="shared" si="96"/>
        <v>224254</v>
      </c>
      <c r="G250" s="34">
        <f t="shared" si="96"/>
        <v>0</v>
      </c>
      <c r="H250" s="34">
        <f t="shared" si="96"/>
        <v>0</v>
      </c>
      <c r="I250" s="34">
        <f t="shared" si="96"/>
        <v>0</v>
      </c>
      <c r="J250" s="34">
        <f t="shared" si="96"/>
        <v>724254</v>
      </c>
      <c r="K250" s="34">
        <f t="shared" si="96"/>
        <v>63152</v>
      </c>
    </row>
    <row r="251" spans="1:11" x14ac:dyDescent="0.3">
      <c r="A251" s="325"/>
      <c r="B251" s="326"/>
      <c r="C251" s="35" t="s">
        <v>33</v>
      </c>
      <c r="D251" s="34">
        <f t="shared" ref="D251:K251" si="97">D185+D167+D147+D124+D100+D65+D36+D209</f>
        <v>1700000</v>
      </c>
      <c r="E251" s="34">
        <f t="shared" si="97"/>
        <v>1909887</v>
      </c>
      <c r="F251" s="34">
        <f t="shared" si="97"/>
        <v>-292515</v>
      </c>
      <c r="G251" s="34">
        <f t="shared" si="97"/>
        <v>0</v>
      </c>
      <c r="H251" s="34">
        <f t="shared" si="97"/>
        <v>0</v>
      </c>
      <c r="I251" s="34">
        <f t="shared" si="97"/>
        <v>0</v>
      </c>
      <c r="J251" s="34">
        <f t="shared" si="97"/>
        <v>1617372</v>
      </c>
      <c r="K251" s="34">
        <f t="shared" si="97"/>
        <v>591290</v>
      </c>
    </row>
    <row r="252" spans="1:11" x14ac:dyDescent="0.3">
      <c r="A252" s="325"/>
      <c r="B252" s="326"/>
      <c r="C252" s="33" t="s">
        <v>34</v>
      </c>
      <c r="D252" s="34">
        <f t="shared" ref="D252:K252" si="98">D168+D148+D125+D101+D66+D37</f>
        <v>1036000</v>
      </c>
      <c r="E252" s="34">
        <f t="shared" si="98"/>
        <v>988000</v>
      </c>
      <c r="F252" s="34">
        <f t="shared" si="98"/>
        <v>-310000</v>
      </c>
      <c r="G252" s="34">
        <f t="shared" si="98"/>
        <v>0</v>
      </c>
      <c r="H252" s="34">
        <f t="shared" si="98"/>
        <v>0</v>
      </c>
      <c r="I252" s="34">
        <f t="shared" si="98"/>
        <v>0</v>
      </c>
      <c r="J252" s="34">
        <f t="shared" si="98"/>
        <v>678000</v>
      </c>
      <c r="K252" s="34">
        <f t="shared" si="98"/>
        <v>241416</v>
      </c>
    </row>
    <row r="253" spans="1:11" x14ac:dyDescent="0.3">
      <c r="A253" s="325"/>
      <c r="B253" s="326"/>
      <c r="C253" s="33" t="s">
        <v>35</v>
      </c>
      <c r="D253" s="34">
        <f t="shared" ref="D253:K253" si="99">D210+D169+D102+D67+D38</f>
        <v>610000</v>
      </c>
      <c r="E253" s="34">
        <f t="shared" si="99"/>
        <v>617000</v>
      </c>
      <c r="F253" s="34">
        <f t="shared" si="99"/>
        <v>-90000</v>
      </c>
      <c r="G253" s="34">
        <f t="shared" si="99"/>
        <v>0</v>
      </c>
      <c r="H253" s="34">
        <f t="shared" si="99"/>
        <v>0</v>
      </c>
      <c r="I253" s="34">
        <f t="shared" si="99"/>
        <v>0</v>
      </c>
      <c r="J253" s="34">
        <f t="shared" si="99"/>
        <v>527000</v>
      </c>
      <c r="K253" s="34">
        <f t="shared" si="99"/>
        <v>204109</v>
      </c>
    </row>
    <row r="254" spans="1:11" x14ac:dyDescent="0.3">
      <c r="A254" s="325"/>
      <c r="B254" s="326"/>
      <c r="C254" s="33" t="s">
        <v>36</v>
      </c>
      <c r="D254" s="34">
        <f t="shared" ref="D254:K254" si="100">D103+D68+D39</f>
        <v>1739080</v>
      </c>
      <c r="E254" s="34">
        <f t="shared" si="100"/>
        <v>1738180</v>
      </c>
      <c r="F254" s="34">
        <f t="shared" si="100"/>
        <v>0</v>
      </c>
      <c r="G254" s="34">
        <f t="shared" si="100"/>
        <v>0</v>
      </c>
      <c r="H254" s="34">
        <f t="shared" si="100"/>
        <v>0</v>
      </c>
      <c r="I254" s="34">
        <f t="shared" si="100"/>
        <v>0</v>
      </c>
      <c r="J254" s="34">
        <f t="shared" si="100"/>
        <v>1738180</v>
      </c>
      <c r="K254" s="34">
        <f t="shared" si="100"/>
        <v>1362736</v>
      </c>
    </row>
    <row r="255" spans="1:11" x14ac:dyDescent="0.3">
      <c r="A255" s="325"/>
      <c r="B255" s="326"/>
      <c r="C255" s="38" t="s">
        <v>37</v>
      </c>
      <c r="D255" s="34">
        <f t="shared" ref="D255:K255" si="101">D186+D69+D40</f>
        <v>356000</v>
      </c>
      <c r="E255" s="34">
        <f t="shared" si="101"/>
        <v>356000</v>
      </c>
      <c r="F255" s="34">
        <f t="shared" si="101"/>
        <v>0</v>
      </c>
      <c r="G255" s="34">
        <f t="shared" si="101"/>
        <v>0</v>
      </c>
      <c r="H255" s="34">
        <f t="shared" si="101"/>
        <v>0</v>
      </c>
      <c r="I255" s="34">
        <f t="shared" si="101"/>
        <v>0</v>
      </c>
      <c r="J255" s="34">
        <f t="shared" si="101"/>
        <v>356000</v>
      </c>
      <c r="K255" s="34">
        <f t="shared" si="101"/>
        <v>138000</v>
      </c>
    </row>
    <row r="256" spans="1:11" x14ac:dyDescent="0.3">
      <c r="A256" s="325"/>
      <c r="B256" s="326"/>
      <c r="C256" s="33" t="s">
        <v>38</v>
      </c>
      <c r="D256" s="34">
        <f t="shared" ref="D256:K256" si="102">D170+D149+D126+D104+D70+D41+D211</f>
        <v>1394000</v>
      </c>
      <c r="E256" s="34">
        <f t="shared" si="102"/>
        <v>1384180</v>
      </c>
      <c r="F256" s="34">
        <f t="shared" si="102"/>
        <v>-21739</v>
      </c>
      <c r="G256" s="34">
        <f t="shared" si="102"/>
        <v>0</v>
      </c>
      <c r="H256" s="34">
        <f t="shared" si="102"/>
        <v>0</v>
      </c>
      <c r="I256" s="34">
        <f t="shared" si="102"/>
        <v>0</v>
      </c>
      <c r="J256" s="34">
        <f t="shared" si="102"/>
        <v>1362441</v>
      </c>
      <c r="K256" s="34">
        <f t="shared" si="102"/>
        <v>546773</v>
      </c>
    </row>
    <row r="257" spans="1:11" x14ac:dyDescent="0.3">
      <c r="A257" s="325"/>
      <c r="B257" s="326"/>
      <c r="C257" s="33" t="s">
        <v>39</v>
      </c>
      <c r="D257" s="34">
        <f t="shared" ref="D257:K257" si="103">D42</f>
        <v>13200</v>
      </c>
      <c r="E257" s="34">
        <f t="shared" si="103"/>
        <v>31926</v>
      </c>
      <c r="F257" s="34">
        <f t="shared" si="103"/>
        <v>0</v>
      </c>
      <c r="G257" s="34">
        <f t="shared" si="103"/>
        <v>0</v>
      </c>
      <c r="H257" s="34">
        <f t="shared" si="103"/>
        <v>0</v>
      </c>
      <c r="I257" s="34">
        <f t="shared" si="103"/>
        <v>0</v>
      </c>
      <c r="J257" s="34">
        <f t="shared" si="103"/>
        <v>31926</v>
      </c>
      <c r="K257" s="34">
        <f t="shared" si="103"/>
        <v>25129</v>
      </c>
    </row>
    <row r="258" spans="1:11" x14ac:dyDescent="0.3">
      <c r="A258" s="325"/>
      <c r="B258" s="326"/>
      <c r="C258" s="36" t="s">
        <v>40</v>
      </c>
      <c r="D258" s="34">
        <f t="shared" ref="D258:K258" si="104">D187+D171+D150+D127+D105+D71+D43</f>
        <v>16415104</v>
      </c>
      <c r="E258" s="34">
        <f t="shared" si="104"/>
        <v>16245068</v>
      </c>
      <c r="F258" s="34">
        <f t="shared" si="104"/>
        <v>0</v>
      </c>
      <c r="G258" s="34">
        <f t="shared" si="104"/>
        <v>0</v>
      </c>
      <c r="H258" s="34">
        <f t="shared" si="104"/>
        <v>0</v>
      </c>
      <c r="I258" s="34">
        <f t="shared" si="104"/>
        <v>0</v>
      </c>
      <c r="J258" s="34">
        <f t="shared" si="104"/>
        <v>16245068</v>
      </c>
      <c r="K258" s="34">
        <f t="shared" si="104"/>
        <v>941404</v>
      </c>
    </row>
    <row r="259" spans="1:11" x14ac:dyDescent="0.3">
      <c r="A259" s="325"/>
      <c r="B259" s="326"/>
      <c r="C259" s="33" t="s">
        <v>41</v>
      </c>
      <c r="D259" s="34">
        <f t="shared" ref="D259:K259" si="105">D188+D172+D151+D128+D106+D72+D44+D212</f>
        <v>26876743</v>
      </c>
      <c r="E259" s="34">
        <f t="shared" si="105"/>
        <v>14568455</v>
      </c>
      <c r="F259" s="34">
        <f t="shared" si="105"/>
        <v>530000</v>
      </c>
      <c r="G259" s="34">
        <f t="shared" si="105"/>
        <v>0</v>
      </c>
      <c r="H259" s="34">
        <f t="shared" si="105"/>
        <v>0</v>
      </c>
      <c r="I259" s="34">
        <f t="shared" si="105"/>
        <v>0</v>
      </c>
      <c r="J259" s="34">
        <f t="shared" si="105"/>
        <v>15098455</v>
      </c>
      <c r="K259" s="34">
        <f t="shared" si="105"/>
        <v>8393962</v>
      </c>
    </row>
    <row r="260" spans="1:11" x14ac:dyDescent="0.3">
      <c r="A260" s="325"/>
      <c r="B260" s="326"/>
      <c r="C260" s="35" t="s">
        <v>42</v>
      </c>
      <c r="D260" s="34">
        <f t="shared" ref="D260:K260" si="106">D213+D189+D173+D152+D129+D107+D73+D45</f>
        <v>2852000</v>
      </c>
      <c r="E260" s="34">
        <f t="shared" si="106"/>
        <v>2889440</v>
      </c>
      <c r="F260" s="34">
        <f t="shared" si="106"/>
        <v>-120000</v>
      </c>
      <c r="G260" s="34">
        <f t="shared" si="106"/>
        <v>0</v>
      </c>
      <c r="H260" s="34">
        <f t="shared" si="106"/>
        <v>0</v>
      </c>
      <c r="I260" s="34">
        <f t="shared" si="106"/>
        <v>0</v>
      </c>
      <c r="J260" s="34">
        <f t="shared" si="106"/>
        <v>2769440</v>
      </c>
      <c r="K260" s="34">
        <f t="shared" si="106"/>
        <v>1453353</v>
      </c>
    </row>
    <row r="261" spans="1:11" x14ac:dyDescent="0.3">
      <c r="A261" s="325"/>
      <c r="B261" s="326"/>
      <c r="C261" s="35" t="s">
        <v>43</v>
      </c>
      <c r="D261" s="34">
        <f t="shared" ref="D261:K261" si="107">D46+D74+D190</f>
        <v>290000</v>
      </c>
      <c r="E261" s="34">
        <f t="shared" si="107"/>
        <v>290000</v>
      </c>
      <c r="F261" s="34">
        <f t="shared" si="107"/>
        <v>0</v>
      </c>
      <c r="G261" s="34">
        <f t="shared" si="107"/>
        <v>0</v>
      </c>
      <c r="H261" s="34">
        <f t="shared" si="107"/>
        <v>0</v>
      </c>
      <c r="I261" s="34">
        <f t="shared" si="107"/>
        <v>0</v>
      </c>
      <c r="J261" s="34">
        <f t="shared" si="107"/>
        <v>290000</v>
      </c>
      <c r="K261" s="34">
        <f t="shared" si="107"/>
        <v>0</v>
      </c>
    </row>
    <row r="262" spans="1:11" x14ac:dyDescent="0.3">
      <c r="A262" s="325"/>
      <c r="B262" s="326"/>
      <c r="C262" s="33" t="s">
        <v>44</v>
      </c>
      <c r="D262" s="34">
        <f t="shared" ref="D262:K262" si="108">D214+D191+D174+D153+D130+D108+D75+D47</f>
        <v>7754652</v>
      </c>
      <c r="E262" s="34">
        <f t="shared" si="108"/>
        <v>5316093</v>
      </c>
      <c r="F262" s="34">
        <f t="shared" si="108"/>
        <v>30000</v>
      </c>
      <c r="G262" s="34">
        <f t="shared" si="108"/>
        <v>0</v>
      </c>
      <c r="H262" s="34">
        <f t="shared" si="108"/>
        <v>0</v>
      </c>
      <c r="I262" s="34">
        <f t="shared" si="108"/>
        <v>0</v>
      </c>
      <c r="J262" s="34">
        <f t="shared" si="108"/>
        <v>5346093</v>
      </c>
      <c r="K262" s="34">
        <f t="shared" si="108"/>
        <v>2320771</v>
      </c>
    </row>
    <row r="263" spans="1:11" x14ac:dyDescent="0.3">
      <c r="A263" s="325"/>
      <c r="B263" s="326"/>
      <c r="C263" s="37" t="s">
        <v>45</v>
      </c>
      <c r="D263" s="34">
        <f t="shared" ref="D263:K263" si="109">D215+D192+D76+D48</f>
        <v>743011</v>
      </c>
      <c r="E263" s="34">
        <f t="shared" si="109"/>
        <v>743011</v>
      </c>
      <c r="F263" s="34">
        <f t="shared" si="109"/>
        <v>50000</v>
      </c>
      <c r="G263" s="34">
        <f t="shared" si="109"/>
        <v>0</v>
      </c>
      <c r="H263" s="34">
        <f t="shared" si="109"/>
        <v>0</v>
      </c>
      <c r="I263" s="34">
        <f t="shared" si="109"/>
        <v>0</v>
      </c>
      <c r="J263" s="34">
        <f t="shared" si="109"/>
        <v>793011</v>
      </c>
      <c r="K263" s="34">
        <f t="shared" si="109"/>
        <v>302579</v>
      </c>
    </row>
    <row r="264" spans="1:11" x14ac:dyDescent="0.3">
      <c r="A264" s="325"/>
      <c r="B264" s="326"/>
      <c r="C264" s="63" t="s">
        <v>49</v>
      </c>
      <c r="D264" s="64">
        <f t="shared" ref="D264:K264" si="110">D216+D193+D175+D154+D131+D109+D77+D49</f>
        <v>62319790</v>
      </c>
      <c r="E264" s="64">
        <f t="shared" si="110"/>
        <v>47577240</v>
      </c>
      <c r="F264" s="64">
        <f t="shared" si="110"/>
        <v>0</v>
      </c>
      <c r="G264" s="64">
        <f t="shared" si="110"/>
        <v>0</v>
      </c>
      <c r="H264" s="64">
        <f t="shared" si="110"/>
        <v>0</v>
      </c>
      <c r="I264" s="64">
        <f t="shared" si="110"/>
        <v>0</v>
      </c>
      <c r="J264" s="64">
        <f t="shared" si="110"/>
        <v>47577240</v>
      </c>
      <c r="K264" s="64">
        <f t="shared" si="110"/>
        <v>16584674</v>
      </c>
    </row>
    <row r="265" spans="1:11" x14ac:dyDescent="0.3">
      <c r="A265" s="325"/>
      <c r="B265" s="326"/>
      <c r="C265" s="63" t="s">
        <v>100</v>
      </c>
      <c r="D265" s="64">
        <f>D198</f>
        <v>0</v>
      </c>
      <c r="E265" s="64">
        <f t="shared" ref="E265:K265" si="111">E198</f>
        <v>10500000</v>
      </c>
      <c r="F265" s="64">
        <f t="shared" si="111"/>
        <v>0</v>
      </c>
      <c r="G265" s="64">
        <f t="shared" si="111"/>
        <v>0</v>
      </c>
      <c r="H265" s="64">
        <f t="shared" si="111"/>
        <v>0</v>
      </c>
      <c r="I265" s="64">
        <f t="shared" si="111"/>
        <v>0</v>
      </c>
      <c r="J265" s="64">
        <f t="shared" si="111"/>
        <v>10500000</v>
      </c>
      <c r="K265" s="64">
        <f t="shared" si="111"/>
        <v>10500000</v>
      </c>
    </row>
    <row r="266" spans="1:11" x14ac:dyDescent="0.3">
      <c r="A266" s="325"/>
      <c r="B266" s="326"/>
      <c r="C266" s="38" t="s">
        <v>50</v>
      </c>
      <c r="D266" s="34">
        <f t="shared" ref="D266:K268" si="112">D195+D78+D50</f>
        <v>161220</v>
      </c>
      <c r="E266" s="34">
        <f t="shared" si="112"/>
        <v>161220</v>
      </c>
      <c r="F266" s="34">
        <f t="shared" si="112"/>
        <v>0</v>
      </c>
      <c r="G266" s="34">
        <f t="shared" si="112"/>
        <v>0</v>
      </c>
      <c r="H266" s="34">
        <f t="shared" si="112"/>
        <v>0</v>
      </c>
      <c r="I266" s="34">
        <f t="shared" si="112"/>
        <v>0</v>
      </c>
      <c r="J266" s="34">
        <f t="shared" si="112"/>
        <v>161220</v>
      </c>
      <c r="K266" s="34">
        <f t="shared" si="112"/>
        <v>0</v>
      </c>
    </row>
    <row r="267" spans="1:11" x14ac:dyDescent="0.3">
      <c r="A267" s="325"/>
      <c r="B267" s="326"/>
      <c r="C267" s="37" t="s">
        <v>51</v>
      </c>
      <c r="D267" s="34">
        <f t="shared" si="112"/>
        <v>43530</v>
      </c>
      <c r="E267" s="34">
        <f t="shared" si="112"/>
        <v>43530</v>
      </c>
      <c r="F267" s="34">
        <f t="shared" si="112"/>
        <v>0</v>
      </c>
      <c r="G267" s="34">
        <f t="shared" si="112"/>
        <v>0</v>
      </c>
      <c r="H267" s="34">
        <f t="shared" si="112"/>
        <v>0</v>
      </c>
      <c r="I267" s="34">
        <f t="shared" si="112"/>
        <v>0</v>
      </c>
      <c r="J267" s="34">
        <f t="shared" si="112"/>
        <v>43530</v>
      </c>
      <c r="K267" s="34">
        <f t="shared" si="112"/>
        <v>0</v>
      </c>
    </row>
    <row r="268" spans="1:11" x14ac:dyDescent="0.3">
      <c r="A268" s="325"/>
      <c r="B268" s="326"/>
      <c r="C268" s="63" t="s">
        <v>52</v>
      </c>
      <c r="D268" s="66">
        <f t="shared" si="112"/>
        <v>204750</v>
      </c>
      <c r="E268" s="66">
        <f t="shared" si="112"/>
        <v>204750</v>
      </c>
      <c r="F268" s="66">
        <f t="shared" si="112"/>
        <v>0</v>
      </c>
      <c r="G268" s="66">
        <f t="shared" si="112"/>
        <v>0</v>
      </c>
      <c r="H268" s="66">
        <f t="shared" si="112"/>
        <v>0</v>
      </c>
      <c r="I268" s="66">
        <f t="shared" si="112"/>
        <v>0</v>
      </c>
      <c r="J268" s="66">
        <f t="shared" si="112"/>
        <v>204750</v>
      </c>
      <c r="K268" s="64">
        <f t="shared" si="112"/>
        <v>0</v>
      </c>
    </row>
    <row r="269" spans="1:11" x14ac:dyDescent="0.3">
      <c r="A269" s="327"/>
      <c r="B269" s="328"/>
      <c r="C269" s="67" t="s">
        <v>88</v>
      </c>
      <c r="D269" s="68">
        <f>D220</f>
        <v>230443641</v>
      </c>
      <c r="E269" s="68">
        <f>E220</f>
        <v>231861839</v>
      </c>
      <c r="F269" s="68">
        <f t="shared" ref="F269:K269" si="113">F220</f>
        <v>0</v>
      </c>
      <c r="G269" s="68">
        <f t="shared" si="113"/>
        <v>-420313</v>
      </c>
      <c r="H269" s="68">
        <f t="shared" si="113"/>
        <v>-1071771</v>
      </c>
      <c r="I269" s="68">
        <f t="shared" si="113"/>
        <v>0</v>
      </c>
      <c r="J269" s="68">
        <f t="shared" si="113"/>
        <v>230369755</v>
      </c>
      <c r="K269" s="68">
        <f t="shared" si="113"/>
        <v>174204754</v>
      </c>
    </row>
    <row r="270" spans="1:11" x14ac:dyDescent="0.3">
      <c r="B270" s="5"/>
      <c r="E270" s="4"/>
      <c r="F270" s="4"/>
      <c r="G270" s="4"/>
      <c r="H270" s="4"/>
      <c r="I270" s="4"/>
      <c r="J270" s="4"/>
      <c r="K270" s="107"/>
    </row>
    <row r="271" spans="1:11" x14ac:dyDescent="0.3">
      <c r="B271" s="5"/>
      <c r="E271" s="4"/>
      <c r="F271" s="4"/>
      <c r="G271" s="4"/>
      <c r="H271" s="4"/>
      <c r="I271" s="4"/>
      <c r="J271" s="4"/>
      <c r="K271" s="107"/>
    </row>
  </sheetData>
  <autoFilter ref="A4:L4" xr:uid="{00000000-0009-0000-0000-00000B000000}"/>
  <mergeCells count="74">
    <mergeCell ref="A228:B269"/>
    <mergeCell ref="A180:C180"/>
    <mergeCell ref="A181:A198"/>
    <mergeCell ref="B181:B198"/>
    <mergeCell ref="A199:C199"/>
    <mergeCell ref="A200:A216"/>
    <mergeCell ref="B200:B216"/>
    <mergeCell ref="A217:A218"/>
    <mergeCell ref="B217:B218"/>
    <mergeCell ref="A219:C219"/>
    <mergeCell ref="A220:C220"/>
    <mergeCell ref="A227:K227"/>
    <mergeCell ref="A178:A179"/>
    <mergeCell ref="B178:B179"/>
    <mergeCell ref="A134:A135"/>
    <mergeCell ref="B134:B135"/>
    <mergeCell ref="A136:C136"/>
    <mergeCell ref="A137:A154"/>
    <mergeCell ref="B137:B154"/>
    <mergeCell ref="A155:A156"/>
    <mergeCell ref="B155:B156"/>
    <mergeCell ref="A157:C157"/>
    <mergeCell ref="A158:A175"/>
    <mergeCell ref="B158:B175"/>
    <mergeCell ref="A176:A177"/>
    <mergeCell ref="B176:B177"/>
    <mergeCell ref="A132:A133"/>
    <mergeCell ref="B132:B133"/>
    <mergeCell ref="A87:A88"/>
    <mergeCell ref="B87:B88"/>
    <mergeCell ref="A89:C89"/>
    <mergeCell ref="A90:A109"/>
    <mergeCell ref="B90:B109"/>
    <mergeCell ref="A110:A111"/>
    <mergeCell ref="B110:B111"/>
    <mergeCell ref="A112:A113"/>
    <mergeCell ref="B112:B113"/>
    <mergeCell ref="A114:C114"/>
    <mergeCell ref="A115:A131"/>
    <mergeCell ref="B115:B131"/>
    <mergeCell ref="A81:A82"/>
    <mergeCell ref="B81:B82"/>
    <mergeCell ref="A83:A84"/>
    <mergeCell ref="B83:B84"/>
    <mergeCell ref="A85:A86"/>
    <mergeCell ref="B85:B86"/>
    <mergeCell ref="A23:A24"/>
    <mergeCell ref="B23:B24"/>
    <mergeCell ref="A25:C25"/>
    <mergeCell ref="A26:A80"/>
    <mergeCell ref="B26:B52"/>
    <mergeCell ref="B53:B80"/>
    <mergeCell ref="A17:A18"/>
    <mergeCell ref="B17:B18"/>
    <mergeCell ref="A19:A20"/>
    <mergeCell ref="B19:B20"/>
    <mergeCell ref="A21:A22"/>
    <mergeCell ref="B21:B22"/>
    <mergeCell ref="A5:A14"/>
    <mergeCell ref="B5:B8"/>
    <mergeCell ref="B9:B12"/>
    <mergeCell ref="B13:B14"/>
    <mergeCell ref="A15:A16"/>
    <mergeCell ref="B15:B16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rowBreaks count="2" manualBreakCount="2">
    <brk id="89" max="16383" man="1"/>
    <brk id="18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54"/>
  <sheetViews>
    <sheetView zoomScaleSheetLayoutView="71" workbookViewId="0">
      <pane xSplit="3" ySplit="4" topLeftCell="D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42.6640625" customWidth="1"/>
    <col min="3" max="3" width="7.6640625" customWidth="1"/>
    <col min="4" max="5" width="13.6640625" customWidth="1"/>
    <col min="6" max="7" width="13.44140625" customWidth="1"/>
    <col min="8" max="9" width="10.33203125" bestFit="1" customWidth="1"/>
    <col min="10" max="11" width="10.33203125" customWidth="1"/>
    <col min="12" max="12" width="13.88671875" bestFit="1" customWidth="1"/>
    <col min="13" max="13" width="16.44140625" style="118" customWidth="1"/>
    <col min="14" max="14" width="13.88671875" customWidth="1"/>
  </cols>
  <sheetData>
    <row r="1" spans="1:14" ht="21" x14ac:dyDescent="0.3">
      <c r="A1" s="403" t="s">
        <v>0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4" x14ac:dyDescent="0.3">
      <c r="B2" s="5"/>
      <c r="E2" s="4"/>
      <c r="F2" s="4"/>
      <c r="G2" s="4"/>
      <c r="H2" s="4"/>
      <c r="I2" s="4"/>
      <c r="J2" s="4"/>
      <c r="K2" s="4"/>
      <c r="L2" s="4"/>
      <c r="M2" s="107"/>
    </row>
    <row r="3" spans="1:14" ht="15" customHeight="1" x14ac:dyDescent="0.3">
      <c r="A3" s="404" t="s">
        <v>104</v>
      </c>
      <c r="B3" s="406" t="s">
        <v>105</v>
      </c>
      <c r="C3" s="404" t="s">
        <v>3</v>
      </c>
      <c r="D3" s="404" t="s">
        <v>4</v>
      </c>
      <c r="E3" s="408" t="s">
        <v>166</v>
      </c>
      <c r="F3" s="412" t="s">
        <v>175</v>
      </c>
      <c r="G3" s="413"/>
      <c r="H3" s="413"/>
      <c r="I3" s="413"/>
      <c r="J3" s="413"/>
      <c r="K3" s="414"/>
      <c r="L3" s="408" t="s">
        <v>176</v>
      </c>
      <c r="M3" s="410" t="s">
        <v>177</v>
      </c>
      <c r="N3" s="411" t="s">
        <v>178</v>
      </c>
    </row>
    <row r="4" spans="1:14" ht="66.75" customHeight="1" x14ac:dyDescent="0.3">
      <c r="A4" s="405"/>
      <c r="B4" s="407"/>
      <c r="C4" s="405"/>
      <c r="D4" s="405"/>
      <c r="E4" s="409"/>
      <c r="F4" s="200" t="s">
        <v>70</v>
      </c>
      <c r="G4" s="190" t="s">
        <v>183</v>
      </c>
      <c r="H4" s="190" t="s">
        <v>179</v>
      </c>
      <c r="I4" s="190" t="s">
        <v>180</v>
      </c>
      <c r="J4" s="190" t="s">
        <v>181</v>
      </c>
      <c r="K4" s="190" t="s">
        <v>182</v>
      </c>
      <c r="L4" s="409"/>
      <c r="M4" s="410"/>
      <c r="N4" s="411"/>
    </row>
    <row r="5" spans="1:14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v>52775258</v>
      </c>
      <c r="F5" s="3"/>
      <c r="G5" s="3"/>
      <c r="H5" s="3"/>
      <c r="I5" s="3"/>
      <c r="J5" s="20"/>
      <c r="K5" s="20"/>
      <c r="L5" s="20">
        <f>E5+F5+G5+H5+I5+J5+K5</f>
        <v>52775258</v>
      </c>
      <c r="M5" s="108">
        <v>52775258</v>
      </c>
      <c r="N5" s="3">
        <f>L5-M5</f>
        <v>0</v>
      </c>
    </row>
    <row r="6" spans="1:14" x14ac:dyDescent="0.3">
      <c r="A6" s="285"/>
      <c r="B6" s="261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/>
      <c r="K6" s="20"/>
      <c r="L6" s="20">
        <f t="shared" ref="L6:L69" si="0">E6+F6+G6+H6+I6+J6+K6</f>
        <v>7273070</v>
      </c>
      <c r="M6" s="108">
        <v>7273070</v>
      </c>
      <c r="N6" s="3">
        <f t="shared" ref="N6:N24" si="1">L6-M6</f>
        <v>0</v>
      </c>
    </row>
    <row r="7" spans="1:14" x14ac:dyDescent="0.3">
      <c r="A7" s="285"/>
      <c r="B7" s="261"/>
      <c r="C7" s="2" t="s">
        <v>22</v>
      </c>
      <c r="D7" s="3">
        <v>200000</v>
      </c>
      <c r="E7" s="3">
        <v>200000</v>
      </c>
      <c r="F7" s="3"/>
      <c r="G7" s="3"/>
      <c r="H7" s="3"/>
      <c r="I7" s="3"/>
      <c r="J7" s="20"/>
      <c r="K7" s="20"/>
      <c r="L7" s="20">
        <f t="shared" si="0"/>
        <v>200000</v>
      </c>
      <c r="M7" s="108">
        <v>200000</v>
      </c>
      <c r="N7" s="3">
        <f t="shared" si="1"/>
        <v>0</v>
      </c>
    </row>
    <row r="8" spans="1:14" x14ac:dyDescent="0.3">
      <c r="A8" s="285"/>
      <c r="B8" s="261"/>
      <c r="C8" s="2" t="s">
        <v>18</v>
      </c>
      <c r="D8" s="3">
        <v>96985672</v>
      </c>
      <c r="E8" s="3">
        <v>98837588</v>
      </c>
      <c r="F8" s="3"/>
      <c r="G8" s="3"/>
      <c r="H8" s="3">
        <v>16016</v>
      </c>
      <c r="I8" s="3"/>
      <c r="J8" s="20">
        <v>-4692</v>
      </c>
      <c r="K8" s="20">
        <v>-42719</v>
      </c>
      <c r="L8" s="20">
        <f>E8+F8+G8+H8+I8+J8+K8</f>
        <v>98806193</v>
      </c>
      <c r="M8" s="108">
        <v>98806193</v>
      </c>
      <c r="N8" s="3">
        <f t="shared" si="1"/>
        <v>0</v>
      </c>
    </row>
    <row r="9" spans="1:14" x14ac:dyDescent="0.3">
      <c r="A9" s="285"/>
      <c r="B9" s="264">
        <v>104042</v>
      </c>
      <c r="C9" s="2" t="s">
        <v>22</v>
      </c>
      <c r="D9" s="3">
        <v>0</v>
      </c>
      <c r="E9" s="3">
        <v>0</v>
      </c>
      <c r="F9" s="3"/>
      <c r="G9" s="3"/>
      <c r="H9" s="3"/>
      <c r="I9" s="3"/>
      <c r="J9" s="20"/>
      <c r="K9" s="20"/>
      <c r="L9" s="20">
        <f t="shared" si="0"/>
        <v>0</v>
      </c>
      <c r="M9" s="108">
        <v>0</v>
      </c>
      <c r="N9" s="3">
        <f t="shared" si="1"/>
        <v>0</v>
      </c>
    </row>
    <row r="10" spans="1:14" x14ac:dyDescent="0.3">
      <c r="A10" s="285"/>
      <c r="B10" s="268"/>
      <c r="C10" s="2" t="s">
        <v>19</v>
      </c>
      <c r="D10" s="3">
        <v>13200</v>
      </c>
      <c r="E10" s="3">
        <v>31926</v>
      </c>
      <c r="F10" s="3"/>
      <c r="G10" s="3"/>
      <c r="H10" s="3"/>
      <c r="I10" s="3">
        <v>-5724</v>
      </c>
      <c r="J10" s="20"/>
      <c r="K10" s="20"/>
      <c r="L10" s="20">
        <f t="shared" si="0"/>
        <v>26202</v>
      </c>
      <c r="M10" s="108">
        <v>26202</v>
      </c>
      <c r="N10" s="3">
        <f t="shared" si="1"/>
        <v>0</v>
      </c>
    </row>
    <row r="11" spans="1:14" x14ac:dyDescent="0.3">
      <c r="A11" s="285"/>
      <c r="B11" s="268"/>
      <c r="C11" s="2" t="s">
        <v>20</v>
      </c>
      <c r="D11" s="3">
        <v>500</v>
      </c>
      <c r="E11" s="3">
        <v>1152</v>
      </c>
      <c r="F11" s="3">
        <v>-21</v>
      </c>
      <c r="G11" s="3"/>
      <c r="H11" s="3"/>
      <c r="I11" s="3">
        <v>-938</v>
      </c>
      <c r="J11" s="20"/>
      <c r="K11" s="20"/>
      <c r="L11" s="20">
        <f t="shared" si="0"/>
        <v>193</v>
      </c>
      <c r="M11" s="108">
        <v>193</v>
      </c>
      <c r="N11" s="3">
        <f t="shared" si="1"/>
        <v>0</v>
      </c>
    </row>
    <row r="12" spans="1:14" x14ac:dyDescent="0.3">
      <c r="A12" s="285"/>
      <c r="B12" s="265"/>
      <c r="C12" s="2" t="s">
        <v>84</v>
      </c>
      <c r="D12" s="3">
        <v>0</v>
      </c>
      <c r="E12" s="3">
        <v>11687</v>
      </c>
      <c r="F12" s="3">
        <v>1</v>
      </c>
      <c r="G12" s="3"/>
      <c r="H12" s="3"/>
      <c r="I12" s="3">
        <v>-5942</v>
      </c>
      <c r="J12" s="20"/>
      <c r="K12" s="20"/>
      <c r="L12" s="20">
        <f t="shared" si="0"/>
        <v>5746</v>
      </c>
      <c r="M12" s="108">
        <v>5746</v>
      </c>
      <c r="N12" s="3">
        <f t="shared" si="1"/>
        <v>0</v>
      </c>
    </row>
    <row r="13" spans="1:14" x14ac:dyDescent="0.3">
      <c r="A13" s="285"/>
      <c r="B13" s="264">
        <v>104043</v>
      </c>
      <c r="C13" s="2" t="s">
        <v>20</v>
      </c>
      <c r="D13" s="3">
        <v>500</v>
      </c>
      <c r="E13" s="3">
        <v>173</v>
      </c>
      <c r="F13" s="3">
        <v>21</v>
      </c>
      <c r="G13" s="3"/>
      <c r="H13" s="3"/>
      <c r="I13" s="3"/>
      <c r="J13" s="20"/>
      <c r="K13" s="20"/>
      <c r="L13" s="20">
        <f t="shared" si="0"/>
        <v>194</v>
      </c>
      <c r="M13" s="108">
        <v>194</v>
      </c>
      <c r="N13" s="3">
        <f t="shared" si="1"/>
        <v>0</v>
      </c>
    </row>
    <row r="14" spans="1:14" x14ac:dyDescent="0.3">
      <c r="A14" s="263"/>
      <c r="B14" s="265"/>
      <c r="C14" s="2" t="s">
        <v>84</v>
      </c>
      <c r="D14" s="3">
        <v>0</v>
      </c>
      <c r="E14" s="3">
        <v>1262</v>
      </c>
      <c r="F14" s="3">
        <v>-1</v>
      </c>
      <c r="G14" s="3"/>
      <c r="H14" s="3"/>
      <c r="I14" s="3"/>
      <c r="J14" s="20"/>
      <c r="K14" s="20"/>
      <c r="L14" s="20">
        <f t="shared" si="0"/>
        <v>1261</v>
      </c>
      <c r="M14" s="108">
        <v>1261</v>
      </c>
      <c r="N14" s="3">
        <f t="shared" si="1"/>
        <v>0</v>
      </c>
    </row>
    <row r="15" spans="1:14" x14ac:dyDescent="0.3">
      <c r="A15" s="254" t="s">
        <v>7</v>
      </c>
      <c r="B15" s="261" t="s">
        <v>21</v>
      </c>
      <c r="C15" s="2" t="s">
        <v>16</v>
      </c>
      <c r="D15" s="3">
        <v>245982</v>
      </c>
      <c r="E15" s="3">
        <v>267808</v>
      </c>
      <c r="F15" s="3"/>
      <c r="G15" s="3"/>
      <c r="H15" s="3"/>
      <c r="I15" s="3"/>
      <c r="J15" s="20"/>
      <c r="K15" s="20"/>
      <c r="L15" s="20">
        <f t="shared" si="0"/>
        <v>267808</v>
      </c>
      <c r="M15" s="108">
        <v>267808</v>
      </c>
      <c r="N15" s="3">
        <f t="shared" si="1"/>
        <v>0</v>
      </c>
    </row>
    <row r="16" spans="1:14" x14ac:dyDescent="0.3">
      <c r="A16" s="254"/>
      <c r="B16" s="261"/>
      <c r="C16" s="2" t="s">
        <v>17</v>
      </c>
      <c r="D16" s="3">
        <v>1005557</v>
      </c>
      <c r="E16" s="3">
        <v>1005557</v>
      </c>
      <c r="F16" s="3"/>
      <c r="G16" s="3"/>
      <c r="H16" s="3"/>
      <c r="I16" s="3"/>
      <c r="J16" s="20"/>
      <c r="K16" s="20"/>
      <c r="L16" s="20">
        <f t="shared" si="0"/>
        <v>1005557</v>
      </c>
      <c r="M16" s="108">
        <v>1005557</v>
      </c>
      <c r="N16" s="3">
        <f t="shared" si="1"/>
        <v>0</v>
      </c>
    </row>
    <row r="17" spans="1:14" x14ac:dyDescent="0.3">
      <c r="A17" s="254" t="s">
        <v>8</v>
      </c>
      <c r="B17" s="261" t="s">
        <v>21</v>
      </c>
      <c r="C17" s="2" t="s">
        <v>16</v>
      </c>
      <c r="D17" s="3">
        <v>3086953</v>
      </c>
      <c r="E17" s="3">
        <v>3120172</v>
      </c>
      <c r="F17" s="3"/>
      <c r="G17" s="3"/>
      <c r="H17" s="3"/>
      <c r="I17" s="3"/>
      <c r="J17" s="20"/>
      <c r="K17" s="20"/>
      <c r="L17" s="20">
        <f t="shared" si="0"/>
        <v>3120172</v>
      </c>
      <c r="M17" s="108">
        <v>3120172</v>
      </c>
      <c r="N17" s="3">
        <f t="shared" si="1"/>
        <v>0</v>
      </c>
    </row>
    <row r="18" spans="1:14" x14ac:dyDescent="0.3">
      <c r="A18" s="254"/>
      <c r="B18" s="261"/>
      <c r="C18" s="2" t="s">
        <v>17</v>
      </c>
      <c r="D18" s="3">
        <v>440959</v>
      </c>
      <c r="E18" s="3">
        <v>440959</v>
      </c>
      <c r="F18" s="3"/>
      <c r="G18" s="3"/>
      <c r="H18" s="3"/>
      <c r="I18" s="3"/>
      <c r="J18" s="20"/>
      <c r="K18" s="20"/>
      <c r="L18" s="20">
        <f t="shared" si="0"/>
        <v>440959</v>
      </c>
      <c r="M18" s="108">
        <v>440959</v>
      </c>
      <c r="N18" s="3">
        <f t="shared" si="1"/>
        <v>0</v>
      </c>
    </row>
    <row r="19" spans="1:14" x14ac:dyDescent="0.3">
      <c r="A19" s="254" t="s">
        <v>9</v>
      </c>
      <c r="B19" s="261" t="s">
        <v>21</v>
      </c>
      <c r="C19" s="2" t="s">
        <v>16</v>
      </c>
      <c r="D19" s="3">
        <v>1403439</v>
      </c>
      <c r="E19" s="3">
        <v>1426144</v>
      </c>
      <c r="F19" s="3"/>
      <c r="G19" s="3"/>
      <c r="H19" s="3"/>
      <c r="I19" s="3"/>
      <c r="J19" s="20"/>
      <c r="K19" s="20"/>
      <c r="L19" s="20">
        <f t="shared" si="0"/>
        <v>1426144</v>
      </c>
      <c r="M19" s="108">
        <v>1426144</v>
      </c>
      <c r="N19" s="3">
        <f t="shared" si="1"/>
        <v>0</v>
      </c>
    </row>
    <row r="20" spans="1:14" x14ac:dyDescent="0.3">
      <c r="A20" s="254"/>
      <c r="B20" s="261"/>
      <c r="C20" s="2" t="s">
        <v>17</v>
      </c>
      <c r="D20" s="3">
        <v>599759</v>
      </c>
      <c r="E20" s="3">
        <v>599759</v>
      </c>
      <c r="F20" s="3"/>
      <c r="G20" s="3"/>
      <c r="H20" s="3"/>
      <c r="I20" s="3"/>
      <c r="J20" s="20"/>
      <c r="K20" s="20"/>
      <c r="L20" s="20">
        <f t="shared" si="0"/>
        <v>599759</v>
      </c>
      <c r="M20" s="108">
        <v>599759</v>
      </c>
      <c r="N20" s="3">
        <f t="shared" si="1"/>
        <v>0</v>
      </c>
    </row>
    <row r="21" spans="1:14" x14ac:dyDescent="0.3">
      <c r="A21" s="262" t="s">
        <v>54</v>
      </c>
      <c r="B21" s="264" t="s">
        <v>21</v>
      </c>
      <c r="C21" s="2" t="s">
        <v>16</v>
      </c>
      <c r="D21" s="3">
        <v>4056383</v>
      </c>
      <c r="E21" s="3">
        <v>4056383</v>
      </c>
      <c r="F21" s="3"/>
      <c r="G21" s="3"/>
      <c r="H21" s="3"/>
      <c r="I21" s="3"/>
      <c r="J21" s="20"/>
      <c r="K21" s="20"/>
      <c r="L21" s="20">
        <f t="shared" si="0"/>
        <v>4056383</v>
      </c>
      <c r="M21" s="108">
        <v>4056383</v>
      </c>
      <c r="N21" s="3">
        <f t="shared" si="1"/>
        <v>0</v>
      </c>
    </row>
    <row r="22" spans="1:14" x14ac:dyDescent="0.3">
      <c r="A22" s="263"/>
      <c r="B22" s="265"/>
      <c r="C22" s="2" t="s">
        <v>17</v>
      </c>
      <c r="D22" s="3">
        <v>226299</v>
      </c>
      <c r="E22" s="3">
        <v>226299</v>
      </c>
      <c r="F22" s="3"/>
      <c r="G22" s="3"/>
      <c r="H22" s="3"/>
      <c r="I22" s="3"/>
      <c r="J22" s="20"/>
      <c r="K22" s="20"/>
      <c r="L22" s="20">
        <f t="shared" si="0"/>
        <v>226299</v>
      </c>
      <c r="M22" s="108">
        <v>226299</v>
      </c>
      <c r="N22" s="3">
        <f t="shared" si="1"/>
        <v>0</v>
      </c>
    </row>
    <row r="23" spans="1:14" x14ac:dyDescent="0.3">
      <c r="A23" s="254" t="s">
        <v>10</v>
      </c>
      <c r="B23" s="261" t="s">
        <v>21</v>
      </c>
      <c r="C23" s="2" t="s">
        <v>16</v>
      </c>
      <c r="D23" s="3">
        <v>53627392</v>
      </c>
      <c r="E23" s="3">
        <v>53627392</v>
      </c>
      <c r="F23" s="3"/>
      <c r="G23" s="3">
        <v>-25298732</v>
      </c>
      <c r="H23" s="3"/>
      <c r="I23" s="3"/>
      <c r="J23" s="20"/>
      <c r="K23" s="20"/>
      <c r="L23" s="20">
        <f t="shared" si="0"/>
        <v>28328660</v>
      </c>
      <c r="M23" s="108">
        <v>28328660</v>
      </c>
      <c r="N23" s="3">
        <f t="shared" si="1"/>
        <v>0</v>
      </c>
    </row>
    <row r="24" spans="1:14" x14ac:dyDescent="0.3">
      <c r="A24" s="254"/>
      <c r="B24" s="261"/>
      <c r="C24" s="2" t="s">
        <v>17</v>
      </c>
      <c r="D24" s="3">
        <v>6467166</v>
      </c>
      <c r="E24" s="3">
        <v>6467166</v>
      </c>
      <c r="F24" s="3"/>
      <c r="G24" s="3"/>
      <c r="H24" s="3"/>
      <c r="I24" s="3"/>
      <c r="J24" s="20"/>
      <c r="K24" s="20"/>
      <c r="L24" s="20">
        <f t="shared" si="0"/>
        <v>6467166</v>
      </c>
      <c r="M24" s="108">
        <v>6467166</v>
      </c>
      <c r="N24" s="3">
        <f t="shared" si="1"/>
        <v>0</v>
      </c>
    </row>
    <row r="25" spans="1:14" ht="30" customHeight="1" x14ac:dyDescent="0.3">
      <c r="A25" s="415" t="s">
        <v>73</v>
      </c>
      <c r="B25" s="416"/>
      <c r="C25" s="417"/>
      <c r="D25" s="188">
        <f t="shared" ref="D25:N25" si="2">SUM(D5:D24)</f>
        <v>230443641</v>
      </c>
      <c r="E25" s="188">
        <f t="shared" si="2"/>
        <v>230369755</v>
      </c>
      <c r="F25" s="188">
        <f t="shared" si="2"/>
        <v>0</v>
      </c>
      <c r="G25" s="188">
        <f t="shared" si="2"/>
        <v>-25298732</v>
      </c>
      <c r="H25" s="188">
        <f t="shared" si="2"/>
        <v>16016</v>
      </c>
      <c r="I25" s="188">
        <f t="shared" si="2"/>
        <v>-12604</v>
      </c>
      <c r="J25" s="188">
        <f t="shared" si="2"/>
        <v>-4692</v>
      </c>
      <c r="K25" s="188">
        <f t="shared" si="2"/>
        <v>-42719</v>
      </c>
      <c r="L25" s="188">
        <f t="shared" si="2"/>
        <v>205027024</v>
      </c>
      <c r="M25" s="189">
        <f t="shared" si="2"/>
        <v>205027024</v>
      </c>
      <c r="N25" s="188">
        <f t="shared" si="2"/>
        <v>0</v>
      </c>
    </row>
    <row r="26" spans="1:14" x14ac:dyDescent="0.3">
      <c r="A26" s="254" t="s">
        <v>11</v>
      </c>
      <c r="B26" s="264" t="s">
        <v>23</v>
      </c>
      <c r="C26" s="2" t="s">
        <v>24</v>
      </c>
      <c r="D26" s="3">
        <v>35883092</v>
      </c>
      <c r="E26" s="3">
        <v>35438980</v>
      </c>
      <c r="F26" s="3">
        <f>-92498-243000</f>
        <v>-335498</v>
      </c>
      <c r="G26" s="3"/>
      <c r="H26" s="3"/>
      <c r="I26" s="3"/>
      <c r="J26" s="20"/>
      <c r="K26" s="20"/>
      <c r="L26" s="20">
        <f t="shared" si="0"/>
        <v>35103482</v>
      </c>
      <c r="M26" s="108">
        <v>33217285</v>
      </c>
      <c r="N26" s="3">
        <f t="shared" ref="N26:N32" si="3">L26-M26</f>
        <v>1886197</v>
      </c>
    </row>
    <row r="27" spans="1:14" x14ac:dyDescent="0.3">
      <c r="A27" s="254"/>
      <c r="B27" s="268"/>
      <c r="C27" s="2" t="s">
        <v>25</v>
      </c>
      <c r="D27" s="3">
        <v>1542000</v>
      </c>
      <c r="E27" s="3">
        <v>1542000</v>
      </c>
      <c r="F27" s="3">
        <v>163000</v>
      </c>
      <c r="G27" s="3"/>
      <c r="H27" s="3"/>
      <c r="I27" s="3"/>
      <c r="J27" s="20"/>
      <c r="K27" s="20"/>
      <c r="L27" s="20">
        <f t="shared" si="0"/>
        <v>1705000</v>
      </c>
      <c r="M27" s="108">
        <v>1705000</v>
      </c>
      <c r="N27" s="3">
        <f t="shared" si="3"/>
        <v>0</v>
      </c>
    </row>
    <row r="28" spans="1:14" x14ac:dyDescent="0.3">
      <c r="A28" s="254"/>
      <c r="B28" s="268"/>
      <c r="C28" s="2" t="s">
        <v>26</v>
      </c>
      <c r="D28" s="3">
        <v>80000</v>
      </c>
      <c r="E28" s="3">
        <v>80000</v>
      </c>
      <c r="F28" s="3"/>
      <c r="G28" s="3"/>
      <c r="H28" s="3"/>
      <c r="I28" s="3"/>
      <c r="J28" s="20"/>
      <c r="K28" s="20"/>
      <c r="L28" s="20">
        <f t="shared" si="0"/>
        <v>80000</v>
      </c>
      <c r="M28" s="108">
        <v>75000</v>
      </c>
      <c r="N28" s="3">
        <f t="shared" si="3"/>
        <v>5000</v>
      </c>
    </row>
    <row r="29" spans="1:14" x14ac:dyDescent="0.3">
      <c r="A29" s="254"/>
      <c r="B29" s="268"/>
      <c r="C29" s="2" t="s">
        <v>27</v>
      </c>
      <c r="D29" s="3">
        <v>893400</v>
      </c>
      <c r="E29" s="3">
        <v>887586</v>
      </c>
      <c r="F29" s="3">
        <f>-14688-21108</f>
        <v>-35796</v>
      </c>
      <c r="G29" s="3"/>
      <c r="H29" s="3"/>
      <c r="I29" s="3"/>
      <c r="J29" s="20"/>
      <c r="K29" s="20"/>
      <c r="L29" s="20">
        <f t="shared" si="0"/>
        <v>851790</v>
      </c>
      <c r="M29" s="108">
        <v>741934</v>
      </c>
      <c r="N29" s="3">
        <f t="shared" si="3"/>
        <v>109856</v>
      </c>
    </row>
    <row r="30" spans="1:14" x14ac:dyDescent="0.3">
      <c r="A30" s="254"/>
      <c r="B30" s="268"/>
      <c r="C30" s="2" t="s">
        <v>28</v>
      </c>
      <c r="D30" s="3">
        <v>190000</v>
      </c>
      <c r="E30" s="3">
        <v>190000</v>
      </c>
      <c r="F30" s="3"/>
      <c r="G30" s="3"/>
      <c r="H30" s="3"/>
      <c r="I30" s="3"/>
      <c r="J30" s="20"/>
      <c r="K30" s="20"/>
      <c r="L30" s="20">
        <f t="shared" si="0"/>
        <v>190000</v>
      </c>
      <c r="M30" s="108">
        <v>183000</v>
      </c>
      <c r="N30" s="3">
        <f t="shared" si="3"/>
        <v>7000</v>
      </c>
    </row>
    <row r="31" spans="1:14" x14ac:dyDescent="0.3">
      <c r="A31" s="254"/>
      <c r="B31" s="268"/>
      <c r="C31" s="2" t="s">
        <v>29</v>
      </c>
      <c r="D31" s="3">
        <v>1086500</v>
      </c>
      <c r="E31" s="3">
        <v>1414943</v>
      </c>
      <c r="F31" s="3">
        <f>92498+53836-53163-375000+75000</f>
        <v>-206829</v>
      </c>
      <c r="G31" s="3"/>
      <c r="H31" s="3"/>
      <c r="I31" s="3"/>
      <c r="J31" s="20"/>
      <c r="K31" s="20"/>
      <c r="L31" s="20">
        <f t="shared" si="0"/>
        <v>1208114</v>
      </c>
      <c r="M31" s="108">
        <v>1208114</v>
      </c>
      <c r="N31" s="3">
        <f t="shared" si="3"/>
        <v>0</v>
      </c>
    </row>
    <row r="32" spans="1:14" x14ac:dyDescent="0.3">
      <c r="A32" s="254"/>
      <c r="B32" s="268"/>
      <c r="C32" s="2" t="s">
        <v>30</v>
      </c>
      <c r="D32" s="3">
        <v>100000</v>
      </c>
      <c r="E32" s="3">
        <v>100000</v>
      </c>
      <c r="F32" s="3">
        <v>-28556</v>
      </c>
      <c r="G32" s="3"/>
      <c r="H32" s="3"/>
      <c r="I32" s="3"/>
      <c r="J32" s="20"/>
      <c r="K32" s="20"/>
      <c r="L32" s="20">
        <f t="shared" si="0"/>
        <v>71444</v>
      </c>
      <c r="M32" s="108">
        <v>67798</v>
      </c>
      <c r="N32" s="3">
        <f t="shared" si="3"/>
        <v>3646</v>
      </c>
    </row>
    <row r="33" spans="1:14" x14ac:dyDescent="0.3">
      <c r="A33" s="254"/>
      <c r="B33" s="268"/>
      <c r="C33" s="6" t="s">
        <v>53</v>
      </c>
      <c r="D33" s="7">
        <f>SUM(D26:D32)</f>
        <v>39774992</v>
      </c>
      <c r="E33" s="7">
        <v>39653509</v>
      </c>
      <c r="F33" s="7">
        <f t="shared" ref="F33:N33" si="4">SUM(F26:F32)</f>
        <v>-443679</v>
      </c>
      <c r="G33" s="7">
        <f t="shared" si="4"/>
        <v>0</v>
      </c>
      <c r="H33" s="7">
        <f t="shared" si="4"/>
        <v>0</v>
      </c>
      <c r="I33" s="7">
        <f t="shared" si="4"/>
        <v>0</v>
      </c>
      <c r="J33" s="7">
        <f t="shared" si="4"/>
        <v>0</v>
      </c>
      <c r="K33" s="7">
        <f t="shared" si="4"/>
        <v>0</v>
      </c>
      <c r="L33" s="7">
        <f t="shared" si="4"/>
        <v>39209830</v>
      </c>
      <c r="M33" s="110">
        <f t="shared" si="4"/>
        <v>37198131</v>
      </c>
      <c r="N33" s="7">
        <f t="shared" si="4"/>
        <v>2011699</v>
      </c>
    </row>
    <row r="34" spans="1:14" x14ac:dyDescent="0.3">
      <c r="A34" s="254"/>
      <c r="B34" s="268"/>
      <c r="C34" s="82" t="s">
        <v>31</v>
      </c>
      <c r="D34" s="83">
        <v>7793417</v>
      </c>
      <c r="E34" s="83">
        <v>7795732</v>
      </c>
      <c r="F34" s="83"/>
      <c r="G34" s="83"/>
      <c r="H34" s="83"/>
      <c r="I34" s="83"/>
      <c r="J34" s="191"/>
      <c r="K34" s="191"/>
      <c r="L34" s="84">
        <f t="shared" si="0"/>
        <v>7795732</v>
      </c>
      <c r="M34" s="111">
        <v>7430559</v>
      </c>
      <c r="N34" s="85">
        <f t="shared" ref="N34:N48" si="5">L34-M34</f>
        <v>365173</v>
      </c>
    </row>
    <row r="35" spans="1:14" x14ac:dyDescent="0.3">
      <c r="A35" s="254"/>
      <c r="B35" s="268"/>
      <c r="C35" s="2" t="s">
        <v>32</v>
      </c>
      <c r="D35" s="3">
        <v>105000</v>
      </c>
      <c r="E35" s="3">
        <v>115000</v>
      </c>
      <c r="F35" s="3"/>
      <c r="G35" s="3"/>
      <c r="H35" s="3"/>
      <c r="I35" s="3"/>
      <c r="J35" s="20"/>
      <c r="K35" s="20"/>
      <c r="L35" s="20">
        <f t="shared" si="0"/>
        <v>115000</v>
      </c>
      <c r="M35" s="108">
        <v>24818</v>
      </c>
      <c r="N35" s="3">
        <f t="shared" si="5"/>
        <v>90182</v>
      </c>
    </row>
    <row r="36" spans="1:14" x14ac:dyDescent="0.3">
      <c r="A36" s="254"/>
      <c r="B36" s="268"/>
      <c r="C36" s="2" t="s">
        <v>33</v>
      </c>
      <c r="D36" s="3">
        <v>500000</v>
      </c>
      <c r="E36" s="3">
        <v>500000</v>
      </c>
      <c r="F36" s="3"/>
      <c r="G36" s="3"/>
      <c r="H36" s="3"/>
      <c r="I36" s="3"/>
      <c r="J36" s="20"/>
      <c r="K36" s="20"/>
      <c r="L36" s="20">
        <f t="shared" si="0"/>
        <v>500000</v>
      </c>
      <c r="M36" s="108">
        <v>30073</v>
      </c>
      <c r="N36" s="3">
        <f t="shared" si="5"/>
        <v>469927</v>
      </c>
    </row>
    <row r="37" spans="1:14" x14ac:dyDescent="0.3">
      <c r="A37" s="254"/>
      <c r="B37" s="268"/>
      <c r="C37" s="2" t="s">
        <v>34</v>
      </c>
      <c r="D37" s="3">
        <v>213000</v>
      </c>
      <c r="E37" s="3">
        <v>213000</v>
      </c>
      <c r="F37" s="3"/>
      <c r="G37" s="3"/>
      <c r="H37" s="3"/>
      <c r="I37" s="3"/>
      <c r="J37" s="20"/>
      <c r="K37" s="20"/>
      <c r="L37" s="20">
        <f t="shared" si="0"/>
        <v>213000</v>
      </c>
      <c r="M37" s="108">
        <v>130512</v>
      </c>
      <c r="N37" s="3">
        <f t="shared" si="5"/>
        <v>82488</v>
      </c>
    </row>
    <row r="38" spans="1:14" x14ac:dyDescent="0.3">
      <c r="A38" s="254"/>
      <c r="B38" s="268"/>
      <c r="C38" s="2" t="s">
        <v>35</v>
      </c>
      <c r="D38" s="3">
        <v>162000</v>
      </c>
      <c r="E38" s="3">
        <v>162000</v>
      </c>
      <c r="F38" s="3"/>
      <c r="G38" s="3"/>
      <c r="H38" s="3"/>
      <c r="I38" s="3"/>
      <c r="J38" s="20"/>
      <c r="K38" s="20"/>
      <c r="L38" s="20">
        <f t="shared" si="0"/>
        <v>162000</v>
      </c>
      <c r="M38" s="108">
        <v>67599</v>
      </c>
      <c r="N38" s="3">
        <f t="shared" si="5"/>
        <v>94401</v>
      </c>
    </row>
    <row r="39" spans="1:14" x14ac:dyDescent="0.3">
      <c r="A39" s="254"/>
      <c r="B39" s="268"/>
      <c r="C39" s="2" t="s">
        <v>36</v>
      </c>
      <c r="D39" s="3">
        <v>569540</v>
      </c>
      <c r="E39" s="3">
        <v>569540</v>
      </c>
      <c r="F39" s="3"/>
      <c r="G39" s="3"/>
      <c r="H39" s="3"/>
      <c r="I39" s="3"/>
      <c r="J39" s="20"/>
      <c r="K39" s="20"/>
      <c r="L39" s="20">
        <f t="shared" si="0"/>
        <v>569540</v>
      </c>
      <c r="M39" s="108">
        <v>486150</v>
      </c>
      <c r="N39" s="3">
        <f t="shared" si="5"/>
        <v>83390</v>
      </c>
    </row>
    <row r="40" spans="1:14" x14ac:dyDescent="0.3">
      <c r="A40" s="254"/>
      <c r="B40" s="268"/>
      <c r="C40" s="2" t="s">
        <v>37</v>
      </c>
      <c r="D40" s="3">
        <v>3000</v>
      </c>
      <c r="E40" s="3">
        <v>3000</v>
      </c>
      <c r="F40" s="3"/>
      <c r="G40" s="3"/>
      <c r="H40" s="3"/>
      <c r="I40" s="3"/>
      <c r="J40" s="20"/>
      <c r="K40" s="20"/>
      <c r="L40" s="20">
        <f t="shared" si="0"/>
        <v>3000</v>
      </c>
      <c r="M40" s="108">
        <v>0</v>
      </c>
      <c r="N40" s="3">
        <f t="shared" si="5"/>
        <v>3000</v>
      </c>
    </row>
    <row r="41" spans="1:14" x14ac:dyDescent="0.3">
      <c r="A41" s="254"/>
      <c r="B41" s="268"/>
      <c r="C41" s="2" t="s">
        <v>38</v>
      </c>
      <c r="D41" s="3">
        <v>460000</v>
      </c>
      <c r="E41" s="3">
        <v>456500</v>
      </c>
      <c r="F41" s="3"/>
      <c r="G41" s="3"/>
      <c r="H41" s="3"/>
      <c r="I41" s="3"/>
      <c r="J41" s="20"/>
      <c r="K41" s="20"/>
      <c r="L41" s="20">
        <f t="shared" si="0"/>
        <v>456500</v>
      </c>
      <c r="M41" s="108">
        <v>242022</v>
      </c>
      <c r="N41" s="3">
        <f t="shared" si="5"/>
        <v>214478</v>
      </c>
    </row>
    <row r="42" spans="1:14" x14ac:dyDescent="0.3">
      <c r="A42" s="254"/>
      <c r="B42" s="268"/>
      <c r="C42" s="2" t="s">
        <v>39</v>
      </c>
      <c r="D42" s="3">
        <v>13200</v>
      </c>
      <c r="E42" s="3">
        <v>31926</v>
      </c>
      <c r="F42" s="3"/>
      <c r="G42" s="3"/>
      <c r="H42" s="3"/>
      <c r="I42" s="3">
        <v>-5724</v>
      </c>
      <c r="J42" s="20"/>
      <c r="K42" s="20"/>
      <c r="L42" s="20">
        <f t="shared" si="0"/>
        <v>26202</v>
      </c>
      <c r="M42" s="108">
        <v>26202</v>
      </c>
      <c r="N42" s="3">
        <f t="shared" si="5"/>
        <v>0</v>
      </c>
    </row>
    <row r="43" spans="1:14" x14ac:dyDescent="0.3">
      <c r="A43" s="254"/>
      <c r="B43" s="268"/>
      <c r="C43" s="2" t="s">
        <v>40</v>
      </c>
      <c r="D43" s="3">
        <v>137800</v>
      </c>
      <c r="E43" s="3">
        <v>62800</v>
      </c>
      <c r="F43" s="3">
        <v>44100</v>
      </c>
      <c r="G43" s="3"/>
      <c r="H43" s="3"/>
      <c r="I43" s="3"/>
      <c r="J43" s="20"/>
      <c r="K43" s="20"/>
      <c r="L43" s="20">
        <f t="shared" si="0"/>
        <v>106900</v>
      </c>
      <c r="M43" s="108">
        <v>106900</v>
      </c>
      <c r="N43" s="3">
        <f t="shared" si="5"/>
        <v>0</v>
      </c>
    </row>
    <row r="44" spans="1:14" x14ac:dyDescent="0.3">
      <c r="A44" s="254"/>
      <c r="B44" s="268"/>
      <c r="C44" s="2" t="s">
        <v>41</v>
      </c>
      <c r="D44" s="3">
        <v>582236</v>
      </c>
      <c r="E44" s="3">
        <v>608510</v>
      </c>
      <c r="F44" s="3">
        <f>90000+375000-4529</f>
        <v>460471</v>
      </c>
      <c r="G44" s="3"/>
      <c r="H44" s="3"/>
      <c r="I44" s="3"/>
      <c r="J44" s="20"/>
      <c r="K44" s="20"/>
      <c r="L44" s="20">
        <f t="shared" si="0"/>
        <v>1068981</v>
      </c>
      <c r="M44" s="108">
        <v>969654</v>
      </c>
      <c r="N44" s="3">
        <f t="shared" si="5"/>
        <v>99327</v>
      </c>
    </row>
    <row r="45" spans="1:14" x14ac:dyDescent="0.3">
      <c r="A45" s="254"/>
      <c r="B45" s="268"/>
      <c r="C45" s="2" t="s">
        <v>42</v>
      </c>
      <c r="D45" s="3">
        <v>552000</v>
      </c>
      <c r="E45" s="3">
        <v>504045</v>
      </c>
      <c r="F45" s="3"/>
      <c r="G45" s="3"/>
      <c r="H45" s="3"/>
      <c r="I45" s="3"/>
      <c r="J45" s="20"/>
      <c r="K45" s="20"/>
      <c r="L45" s="20">
        <f t="shared" si="0"/>
        <v>504045</v>
      </c>
      <c r="M45" s="108">
        <v>440510</v>
      </c>
      <c r="N45" s="3">
        <f t="shared" si="5"/>
        <v>63535</v>
      </c>
    </row>
    <row r="46" spans="1:14" x14ac:dyDescent="0.3">
      <c r="A46" s="254"/>
      <c r="B46" s="268"/>
      <c r="C46" s="2" t="s">
        <v>43</v>
      </c>
      <c r="D46" s="3">
        <v>30000</v>
      </c>
      <c r="E46" s="3">
        <v>30000</v>
      </c>
      <c r="F46" s="3"/>
      <c r="G46" s="3"/>
      <c r="H46" s="3"/>
      <c r="I46" s="3"/>
      <c r="J46" s="20"/>
      <c r="K46" s="20"/>
      <c r="L46" s="20">
        <f t="shared" si="0"/>
        <v>30000</v>
      </c>
      <c r="M46" s="108">
        <v>0</v>
      </c>
      <c r="N46" s="3">
        <f t="shared" si="5"/>
        <v>30000</v>
      </c>
    </row>
    <row r="47" spans="1:14" x14ac:dyDescent="0.3">
      <c r="A47" s="254"/>
      <c r="B47" s="268"/>
      <c r="C47" s="2" t="s">
        <v>44</v>
      </c>
      <c r="D47" s="3">
        <v>455834</v>
      </c>
      <c r="E47" s="3">
        <v>218435</v>
      </c>
      <c r="F47" s="3"/>
      <c r="G47" s="3"/>
      <c r="H47" s="3"/>
      <c r="I47" s="3"/>
      <c r="J47" s="20"/>
      <c r="K47" s="20"/>
      <c r="L47" s="20">
        <f t="shared" si="0"/>
        <v>218435</v>
      </c>
      <c r="M47" s="108">
        <v>186362</v>
      </c>
      <c r="N47" s="3">
        <f t="shared" si="5"/>
        <v>32073</v>
      </c>
    </row>
    <row r="48" spans="1:14" x14ac:dyDescent="0.3">
      <c r="A48" s="254"/>
      <c r="B48" s="268"/>
      <c r="C48" s="2" t="s">
        <v>45</v>
      </c>
      <c r="D48" s="3">
        <v>80000</v>
      </c>
      <c r="E48" s="3">
        <v>75764</v>
      </c>
      <c r="F48" s="3"/>
      <c r="G48" s="3"/>
      <c r="H48" s="3"/>
      <c r="I48" s="3"/>
      <c r="J48" s="20"/>
      <c r="K48" s="20"/>
      <c r="L48" s="20">
        <f t="shared" si="0"/>
        <v>75764</v>
      </c>
      <c r="M48" s="108">
        <v>65938</v>
      </c>
      <c r="N48" s="3">
        <f t="shared" si="5"/>
        <v>9826</v>
      </c>
    </row>
    <row r="49" spans="1:14" x14ac:dyDescent="0.3">
      <c r="A49" s="254"/>
      <c r="B49" s="268"/>
      <c r="C49" s="6" t="s">
        <v>49</v>
      </c>
      <c r="D49" s="7">
        <f>SUM(D35:D48)</f>
        <v>3863610</v>
      </c>
      <c r="E49" s="7">
        <v>3550520</v>
      </c>
      <c r="F49" s="7">
        <f t="shared" ref="F49:N49" si="6">SUM(F35:F48)</f>
        <v>504571</v>
      </c>
      <c r="G49" s="7">
        <f t="shared" si="6"/>
        <v>0</v>
      </c>
      <c r="H49" s="7">
        <f t="shared" si="6"/>
        <v>0</v>
      </c>
      <c r="I49" s="7">
        <f t="shared" si="6"/>
        <v>-5724</v>
      </c>
      <c r="J49" s="7">
        <f t="shared" si="6"/>
        <v>0</v>
      </c>
      <c r="K49" s="7">
        <f t="shared" si="6"/>
        <v>0</v>
      </c>
      <c r="L49" s="7">
        <f t="shared" si="6"/>
        <v>4049367</v>
      </c>
      <c r="M49" s="110">
        <f t="shared" si="6"/>
        <v>2776740</v>
      </c>
      <c r="N49" s="7">
        <f t="shared" si="6"/>
        <v>1272627</v>
      </c>
    </row>
    <row r="50" spans="1:14" x14ac:dyDescent="0.3">
      <c r="A50" s="254"/>
      <c r="B50" s="268"/>
      <c r="C50" s="2" t="s">
        <v>50</v>
      </c>
      <c r="D50" s="3">
        <v>78740</v>
      </c>
      <c r="E50" s="3">
        <v>78740</v>
      </c>
      <c r="F50" s="3"/>
      <c r="G50" s="3"/>
      <c r="H50" s="3"/>
      <c r="I50" s="3"/>
      <c r="J50" s="20"/>
      <c r="K50" s="20"/>
      <c r="L50" s="20">
        <f t="shared" si="0"/>
        <v>78740</v>
      </c>
      <c r="M50" s="108">
        <v>78740</v>
      </c>
      <c r="N50" s="3">
        <f t="shared" ref="N50:N51" si="7">L50-M50</f>
        <v>0</v>
      </c>
    </row>
    <row r="51" spans="1:14" x14ac:dyDescent="0.3">
      <c r="A51" s="254"/>
      <c r="B51" s="268"/>
      <c r="C51" s="2" t="s">
        <v>51</v>
      </c>
      <c r="D51" s="3">
        <v>21260</v>
      </c>
      <c r="E51" s="3">
        <v>21260</v>
      </c>
      <c r="F51" s="3"/>
      <c r="G51" s="3"/>
      <c r="H51" s="3"/>
      <c r="I51" s="3"/>
      <c r="J51" s="20"/>
      <c r="K51" s="20"/>
      <c r="L51" s="20">
        <f t="shared" si="0"/>
        <v>21260</v>
      </c>
      <c r="M51" s="108">
        <v>21260</v>
      </c>
      <c r="N51" s="3">
        <f t="shared" si="7"/>
        <v>0</v>
      </c>
    </row>
    <row r="52" spans="1:14" x14ac:dyDescent="0.3">
      <c r="A52" s="254"/>
      <c r="B52" s="265"/>
      <c r="C52" s="6" t="s">
        <v>52</v>
      </c>
      <c r="D52" s="7">
        <f>SUM(D50:D51)</f>
        <v>100000</v>
      </c>
      <c r="E52" s="7">
        <v>100000</v>
      </c>
      <c r="F52" s="7">
        <f t="shared" ref="F52:N52" si="8">SUM(F50:F51)</f>
        <v>0</v>
      </c>
      <c r="G52" s="7">
        <f t="shared" si="8"/>
        <v>0</v>
      </c>
      <c r="H52" s="7">
        <f t="shared" si="8"/>
        <v>0</v>
      </c>
      <c r="I52" s="7">
        <f t="shared" si="8"/>
        <v>0</v>
      </c>
      <c r="J52" s="7">
        <f t="shared" si="8"/>
        <v>0</v>
      </c>
      <c r="K52" s="7">
        <f t="shared" si="8"/>
        <v>0</v>
      </c>
      <c r="L52" s="7">
        <f t="shared" si="8"/>
        <v>100000</v>
      </c>
      <c r="M52" s="110">
        <f t="shared" si="8"/>
        <v>100000</v>
      </c>
      <c r="N52" s="7">
        <f t="shared" si="8"/>
        <v>0</v>
      </c>
    </row>
    <row r="53" spans="1:14" x14ac:dyDescent="0.3">
      <c r="A53" s="254"/>
      <c r="B53" s="261" t="s">
        <v>46</v>
      </c>
      <c r="C53" s="2" t="s">
        <v>24</v>
      </c>
      <c r="D53" s="3">
        <v>25123345</v>
      </c>
      <c r="E53" s="3">
        <v>24749706</v>
      </c>
      <c r="F53" s="3">
        <v>-80000</v>
      </c>
      <c r="G53" s="3"/>
      <c r="H53" s="3"/>
      <c r="I53" s="3"/>
      <c r="J53" s="20"/>
      <c r="K53" s="20"/>
      <c r="L53" s="20">
        <f t="shared" si="0"/>
        <v>24669706</v>
      </c>
      <c r="M53" s="108">
        <v>23441856</v>
      </c>
      <c r="N53" s="3">
        <f t="shared" ref="N53:N61" si="9">L53-M53</f>
        <v>1227850</v>
      </c>
    </row>
    <row r="54" spans="1:14" x14ac:dyDescent="0.3">
      <c r="A54" s="254"/>
      <c r="B54" s="261"/>
      <c r="C54" s="2" t="s">
        <v>47</v>
      </c>
      <c r="D54" s="3">
        <v>2040480</v>
      </c>
      <c r="E54" s="3">
        <v>2040480</v>
      </c>
      <c r="F54" s="3"/>
      <c r="G54" s="3"/>
      <c r="H54" s="3"/>
      <c r="I54" s="3"/>
      <c r="J54" s="20"/>
      <c r="K54" s="20"/>
      <c r="L54" s="20">
        <f t="shared" si="0"/>
        <v>2040480</v>
      </c>
      <c r="M54" s="108">
        <v>1928489</v>
      </c>
      <c r="N54" s="3">
        <f t="shared" si="9"/>
        <v>111991</v>
      </c>
    </row>
    <row r="55" spans="1:14" x14ac:dyDescent="0.3">
      <c r="A55" s="254"/>
      <c r="B55" s="261"/>
      <c r="C55" s="2" t="s">
        <v>48</v>
      </c>
      <c r="D55" s="3">
        <v>0</v>
      </c>
      <c r="E55" s="3">
        <v>0</v>
      </c>
      <c r="F55" s="3"/>
      <c r="G55" s="3"/>
      <c r="H55" s="3"/>
      <c r="I55" s="3"/>
      <c r="J55" s="20"/>
      <c r="K55" s="20"/>
      <c r="L55" s="20">
        <f t="shared" si="0"/>
        <v>0</v>
      </c>
      <c r="M55" s="108">
        <v>0</v>
      </c>
      <c r="N55" s="3">
        <f t="shared" si="9"/>
        <v>0</v>
      </c>
    </row>
    <row r="56" spans="1:14" x14ac:dyDescent="0.3">
      <c r="A56" s="254"/>
      <c r="B56" s="261"/>
      <c r="C56" s="2" t="s">
        <v>25</v>
      </c>
      <c r="D56" s="3">
        <v>1025000</v>
      </c>
      <c r="E56" s="3">
        <v>1025000</v>
      </c>
      <c r="F56" s="3">
        <v>80000</v>
      </c>
      <c r="G56" s="3"/>
      <c r="H56" s="3"/>
      <c r="I56" s="3"/>
      <c r="J56" s="20"/>
      <c r="K56" s="20"/>
      <c r="L56" s="20">
        <f t="shared" si="0"/>
        <v>1105000</v>
      </c>
      <c r="M56" s="108">
        <v>1105000</v>
      </c>
      <c r="N56" s="3">
        <f t="shared" si="9"/>
        <v>0</v>
      </c>
    </row>
    <row r="57" spans="1:14" x14ac:dyDescent="0.3">
      <c r="A57" s="254"/>
      <c r="B57" s="261"/>
      <c r="C57" s="2" t="s">
        <v>26</v>
      </c>
      <c r="D57" s="3">
        <v>60000</v>
      </c>
      <c r="E57" s="3">
        <v>60000</v>
      </c>
      <c r="F57" s="3"/>
      <c r="G57" s="3"/>
      <c r="H57" s="3"/>
      <c r="I57" s="3"/>
      <c r="J57" s="20"/>
      <c r="K57" s="20"/>
      <c r="L57" s="20">
        <f t="shared" si="0"/>
        <v>60000</v>
      </c>
      <c r="M57" s="108">
        <v>50000</v>
      </c>
      <c r="N57" s="3">
        <f t="shared" si="9"/>
        <v>10000</v>
      </c>
    </row>
    <row r="58" spans="1:14" x14ac:dyDescent="0.3">
      <c r="A58" s="254"/>
      <c r="B58" s="261"/>
      <c r="C58" s="2" t="s">
        <v>27</v>
      </c>
      <c r="D58" s="3">
        <v>240000</v>
      </c>
      <c r="E58" s="3">
        <v>229902</v>
      </c>
      <c r="F58" s="3">
        <v>21108</v>
      </c>
      <c r="G58" s="3"/>
      <c r="H58" s="3"/>
      <c r="I58" s="3"/>
      <c r="J58" s="20"/>
      <c r="K58" s="20"/>
      <c r="L58" s="20">
        <f t="shared" si="0"/>
        <v>251010</v>
      </c>
      <c r="M58" s="108">
        <v>251010</v>
      </c>
      <c r="N58" s="3">
        <f t="shared" si="9"/>
        <v>0</v>
      </c>
    </row>
    <row r="59" spans="1:14" x14ac:dyDescent="0.3">
      <c r="A59" s="254"/>
      <c r="B59" s="261"/>
      <c r="C59" s="2" t="s">
        <v>28</v>
      </c>
      <c r="D59" s="3">
        <v>147000</v>
      </c>
      <c r="E59" s="3">
        <v>147000</v>
      </c>
      <c r="F59" s="3"/>
      <c r="G59" s="3"/>
      <c r="H59" s="3"/>
      <c r="I59" s="3"/>
      <c r="J59" s="20"/>
      <c r="K59" s="20"/>
      <c r="L59" s="20">
        <f t="shared" si="0"/>
        <v>147000</v>
      </c>
      <c r="M59" s="108">
        <v>117000</v>
      </c>
      <c r="N59" s="3">
        <f t="shared" si="9"/>
        <v>30000</v>
      </c>
    </row>
    <row r="60" spans="1:14" x14ac:dyDescent="0.3">
      <c r="A60" s="254"/>
      <c r="B60" s="261"/>
      <c r="C60" s="2" t="s">
        <v>29</v>
      </c>
      <c r="D60" s="3">
        <v>553500</v>
      </c>
      <c r="E60" s="3">
        <v>1017697</v>
      </c>
      <c r="F60" s="3">
        <f>53163-75000</f>
        <v>-21837</v>
      </c>
      <c r="G60" s="3"/>
      <c r="H60" s="3"/>
      <c r="I60" s="3"/>
      <c r="J60" s="20"/>
      <c r="K60" s="20"/>
      <c r="L60" s="20">
        <f t="shared" si="0"/>
        <v>995860</v>
      </c>
      <c r="M60" s="108">
        <v>995860</v>
      </c>
      <c r="N60" s="3">
        <f t="shared" si="9"/>
        <v>0</v>
      </c>
    </row>
    <row r="61" spans="1:14" x14ac:dyDescent="0.3">
      <c r="A61" s="254"/>
      <c r="B61" s="261"/>
      <c r="C61" s="2" t="s">
        <v>30</v>
      </c>
      <c r="D61" s="3">
        <v>100000</v>
      </c>
      <c r="E61" s="3">
        <v>100000</v>
      </c>
      <c r="F61" s="3"/>
      <c r="G61" s="3"/>
      <c r="H61" s="3"/>
      <c r="I61" s="3"/>
      <c r="J61" s="20"/>
      <c r="K61" s="20"/>
      <c r="L61" s="20">
        <f t="shared" si="0"/>
        <v>100000</v>
      </c>
      <c r="M61" s="108">
        <v>67798</v>
      </c>
      <c r="N61" s="3">
        <f t="shared" si="9"/>
        <v>32202</v>
      </c>
    </row>
    <row r="62" spans="1:14" x14ac:dyDescent="0.3">
      <c r="A62" s="254"/>
      <c r="B62" s="261"/>
      <c r="C62" s="6" t="s">
        <v>53</v>
      </c>
      <c r="D62" s="7">
        <f>SUM(D53:D61)</f>
        <v>29289325</v>
      </c>
      <c r="E62" s="7">
        <v>29369785</v>
      </c>
      <c r="F62" s="7">
        <f t="shared" ref="F62:N62" si="10">SUM(F53:F61)</f>
        <v>-729</v>
      </c>
      <c r="G62" s="7">
        <f t="shared" si="10"/>
        <v>0</v>
      </c>
      <c r="H62" s="7">
        <f t="shared" si="10"/>
        <v>0</v>
      </c>
      <c r="I62" s="7">
        <f t="shared" si="10"/>
        <v>0</v>
      </c>
      <c r="J62" s="7">
        <f t="shared" si="10"/>
        <v>0</v>
      </c>
      <c r="K62" s="7">
        <f t="shared" si="10"/>
        <v>0</v>
      </c>
      <c r="L62" s="7">
        <f t="shared" si="10"/>
        <v>29369056</v>
      </c>
      <c r="M62" s="110">
        <f t="shared" si="10"/>
        <v>27957013</v>
      </c>
      <c r="N62" s="7">
        <f t="shared" si="10"/>
        <v>1412043</v>
      </c>
    </row>
    <row r="63" spans="1:14" x14ac:dyDescent="0.3">
      <c r="A63" s="254"/>
      <c r="B63" s="261"/>
      <c r="C63" s="82" t="s">
        <v>31</v>
      </c>
      <c r="D63" s="83">
        <v>5849797</v>
      </c>
      <c r="E63" s="83">
        <v>5859251</v>
      </c>
      <c r="F63" s="83"/>
      <c r="G63" s="83"/>
      <c r="H63" s="83"/>
      <c r="I63" s="83"/>
      <c r="J63" s="191"/>
      <c r="K63" s="191"/>
      <c r="L63" s="84">
        <f t="shared" si="0"/>
        <v>5859251</v>
      </c>
      <c r="M63" s="111">
        <v>5755387</v>
      </c>
      <c r="N63" s="85">
        <f t="shared" ref="N63:N76" si="11">L63-M63</f>
        <v>103864</v>
      </c>
    </row>
    <row r="64" spans="1:14" x14ac:dyDescent="0.3">
      <c r="A64" s="254"/>
      <c r="B64" s="261"/>
      <c r="C64" s="2" t="s">
        <v>32</v>
      </c>
      <c r="D64" s="3">
        <v>105000</v>
      </c>
      <c r="E64" s="3">
        <v>91486</v>
      </c>
      <c r="F64" s="3"/>
      <c r="G64" s="3"/>
      <c r="H64" s="3"/>
      <c r="I64" s="3"/>
      <c r="J64" s="20"/>
      <c r="K64" s="20"/>
      <c r="L64" s="20">
        <f t="shared" si="0"/>
        <v>91486</v>
      </c>
      <c r="M64" s="108">
        <v>24820</v>
      </c>
      <c r="N64" s="3">
        <f t="shared" si="11"/>
        <v>66666</v>
      </c>
    </row>
    <row r="65" spans="1:14" x14ac:dyDescent="0.3">
      <c r="A65" s="254"/>
      <c r="B65" s="261"/>
      <c r="C65" s="2" t="s">
        <v>33</v>
      </c>
      <c r="D65" s="3">
        <v>700000</v>
      </c>
      <c r="E65" s="3">
        <v>200000</v>
      </c>
      <c r="F65" s="3"/>
      <c r="G65" s="3"/>
      <c r="H65" s="3"/>
      <c r="I65" s="3"/>
      <c r="J65" s="20"/>
      <c r="K65" s="20"/>
      <c r="L65" s="20">
        <f t="shared" si="0"/>
        <v>200000</v>
      </c>
      <c r="M65" s="108">
        <v>72045</v>
      </c>
      <c r="N65" s="3">
        <f t="shared" si="11"/>
        <v>127955</v>
      </c>
    </row>
    <row r="66" spans="1:14" x14ac:dyDescent="0.3">
      <c r="A66" s="254"/>
      <c r="B66" s="261"/>
      <c r="C66" s="2" t="s">
        <v>34</v>
      </c>
      <c r="D66" s="3">
        <v>213000</v>
      </c>
      <c r="E66" s="3">
        <v>213000</v>
      </c>
      <c r="F66" s="3"/>
      <c r="G66" s="3"/>
      <c r="H66" s="3"/>
      <c r="I66" s="3"/>
      <c r="J66" s="20"/>
      <c r="K66" s="20"/>
      <c r="L66" s="20">
        <f t="shared" si="0"/>
        <v>213000</v>
      </c>
      <c r="M66" s="108">
        <v>122894</v>
      </c>
      <c r="N66" s="3">
        <f t="shared" si="11"/>
        <v>90106</v>
      </c>
    </row>
    <row r="67" spans="1:14" x14ac:dyDescent="0.3">
      <c r="A67" s="254"/>
      <c r="B67" s="261"/>
      <c r="C67" s="2" t="s">
        <v>35</v>
      </c>
      <c r="D67" s="3">
        <v>288000</v>
      </c>
      <c r="E67" s="3">
        <v>122200</v>
      </c>
      <c r="F67" s="3"/>
      <c r="G67" s="3"/>
      <c r="H67" s="3"/>
      <c r="I67" s="3"/>
      <c r="J67" s="20"/>
      <c r="K67" s="20"/>
      <c r="L67" s="20">
        <f t="shared" si="0"/>
        <v>122200</v>
      </c>
      <c r="M67" s="108">
        <v>114093</v>
      </c>
      <c r="N67" s="3">
        <f t="shared" si="11"/>
        <v>8107</v>
      </c>
    </row>
    <row r="68" spans="1:14" x14ac:dyDescent="0.3">
      <c r="A68" s="254"/>
      <c r="B68" s="261"/>
      <c r="C68" s="2" t="s">
        <v>36</v>
      </c>
      <c r="D68" s="3">
        <v>669540</v>
      </c>
      <c r="E68" s="3">
        <v>669540</v>
      </c>
      <c r="F68" s="3"/>
      <c r="G68" s="3"/>
      <c r="H68" s="3"/>
      <c r="I68" s="3"/>
      <c r="J68" s="20"/>
      <c r="K68" s="20"/>
      <c r="L68" s="20">
        <f t="shared" si="0"/>
        <v>669540</v>
      </c>
      <c r="M68" s="108">
        <v>586445</v>
      </c>
      <c r="N68" s="3">
        <f t="shared" si="11"/>
        <v>83095</v>
      </c>
    </row>
    <row r="69" spans="1:14" x14ac:dyDescent="0.3">
      <c r="A69" s="254"/>
      <c r="B69" s="261"/>
      <c r="C69" s="2" t="s">
        <v>37</v>
      </c>
      <c r="D69" s="3">
        <v>123000</v>
      </c>
      <c r="E69" s="3">
        <v>123000</v>
      </c>
      <c r="F69" s="3"/>
      <c r="G69" s="3"/>
      <c r="H69" s="3"/>
      <c r="I69" s="3"/>
      <c r="J69" s="20"/>
      <c r="K69" s="20"/>
      <c r="L69" s="20">
        <f t="shared" si="0"/>
        <v>123000</v>
      </c>
      <c r="M69" s="108">
        <v>0</v>
      </c>
      <c r="N69" s="3">
        <f t="shared" si="11"/>
        <v>123000</v>
      </c>
    </row>
    <row r="70" spans="1:14" x14ac:dyDescent="0.3">
      <c r="A70" s="254"/>
      <c r="B70" s="261"/>
      <c r="C70" s="2" t="s">
        <v>38</v>
      </c>
      <c r="D70" s="3">
        <v>460000</v>
      </c>
      <c r="E70" s="3">
        <v>460000</v>
      </c>
      <c r="F70" s="3"/>
      <c r="G70" s="3"/>
      <c r="H70" s="3"/>
      <c r="I70" s="3"/>
      <c r="J70" s="20"/>
      <c r="K70" s="20"/>
      <c r="L70" s="20">
        <f t="shared" ref="L70:L76" si="12">E70+F70+G70+H70+I70+J70+K70</f>
        <v>460000</v>
      </c>
      <c r="M70" s="108">
        <v>232805</v>
      </c>
      <c r="N70" s="3">
        <f t="shared" si="11"/>
        <v>227195</v>
      </c>
    </row>
    <row r="71" spans="1:14" x14ac:dyDescent="0.3">
      <c r="A71" s="254"/>
      <c r="B71" s="261"/>
      <c r="C71" s="2" t="s">
        <v>40</v>
      </c>
      <c r="D71" s="3">
        <v>1361904</v>
      </c>
      <c r="E71" s="3">
        <v>1253268</v>
      </c>
      <c r="F71" s="3">
        <f>-90000-44100</f>
        <v>-134100</v>
      </c>
      <c r="G71" s="3"/>
      <c r="H71" s="3"/>
      <c r="I71" s="3"/>
      <c r="J71" s="20"/>
      <c r="K71" s="20"/>
      <c r="L71" s="20">
        <f t="shared" si="12"/>
        <v>1119168</v>
      </c>
      <c r="M71" s="108">
        <v>844804</v>
      </c>
      <c r="N71" s="3">
        <f t="shared" si="11"/>
        <v>274364</v>
      </c>
    </row>
    <row r="72" spans="1:14" x14ac:dyDescent="0.3">
      <c r="A72" s="254"/>
      <c r="B72" s="261"/>
      <c r="C72" s="2" t="s">
        <v>41</v>
      </c>
      <c r="D72" s="3">
        <v>982236</v>
      </c>
      <c r="E72" s="3">
        <v>1589187</v>
      </c>
      <c r="F72" s="3">
        <v>4529</v>
      </c>
      <c r="G72" s="3"/>
      <c r="H72" s="3"/>
      <c r="I72" s="3">
        <v>-6880</v>
      </c>
      <c r="J72" s="20"/>
      <c r="K72" s="20"/>
      <c r="L72" s="20">
        <f t="shared" si="12"/>
        <v>1586836</v>
      </c>
      <c r="M72" s="108">
        <v>1586836</v>
      </c>
      <c r="N72" s="3">
        <f t="shared" si="11"/>
        <v>0</v>
      </c>
    </row>
    <row r="73" spans="1:14" x14ac:dyDescent="0.3">
      <c r="A73" s="254"/>
      <c r="B73" s="261"/>
      <c r="C73" s="2" t="s">
        <v>42</v>
      </c>
      <c r="D73" s="3">
        <v>1200000</v>
      </c>
      <c r="E73" s="3">
        <v>899045</v>
      </c>
      <c r="F73" s="3"/>
      <c r="G73" s="3"/>
      <c r="H73" s="3"/>
      <c r="I73" s="3"/>
      <c r="J73" s="20"/>
      <c r="K73" s="20"/>
      <c r="L73" s="20">
        <f t="shared" si="12"/>
        <v>899045</v>
      </c>
      <c r="M73" s="108">
        <v>355315</v>
      </c>
      <c r="N73" s="3">
        <f t="shared" si="11"/>
        <v>543730</v>
      </c>
    </row>
    <row r="74" spans="1:14" x14ac:dyDescent="0.3">
      <c r="A74" s="254"/>
      <c r="B74" s="261"/>
      <c r="C74" s="2" t="s">
        <v>43</v>
      </c>
      <c r="D74" s="3">
        <v>30000</v>
      </c>
      <c r="E74" s="3">
        <v>30000</v>
      </c>
      <c r="F74" s="3"/>
      <c r="G74" s="3"/>
      <c r="H74" s="3"/>
      <c r="I74" s="3"/>
      <c r="J74" s="20"/>
      <c r="K74" s="20"/>
      <c r="L74" s="20">
        <f t="shared" si="12"/>
        <v>30000</v>
      </c>
      <c r="M74" s="108">
        <v>0</v>
      </c>
      <c r="N74" s="3">
        <f t="shared" si="11"/>
        <v>30000</v>
      </c>
    </row>
    <row r="75" spans="1:14" x14ac:dyDescent="0.3">
      <c r="A75" s="254"/>
      <c r="B75" s="261"/>
      <c r="C75" s="2" t="s">
        <v>44</v>
      </c>
      <c r="D75" s="3">
        <v>1041508</v>
      </c>
      <c r="E75" s="3">
        <v>978143</v>
      </c>
      <c r="F75" s="3"/>
      <c r="G75" s="3"/>
      <c r="H75" s="3"/>
      <c r="I75" s="3"/>
      <c r="J75" s="20"/>
      <c r="K75" s="20"/>
      <c r="L75" s="20">
        <f t="shared" si="12"/>
        <v>978143</v>
      </c>
      <c r="M75" s="108">
        <v>391072</v>
      </c>
      <c r="N75" s="3">
        <f t="shared" si="11"/>
        <v>587071</v>
      </c>
    </row>
    <row r="76" spans="1:14" x14ac:dyDescent="0.3">
      <c r="A76" s="254"/>
      <c r="B76" s="261"/>
      <c r="C76" s="2" t="s">
        <v>45</v>
      </c>
      <c r="D76" s="3">
        <v>433021</v>
      </c>
      <c r="E76" s="3">
        <v>107603</v>
      </c>
      <c r="F76" s="3">
        <v>88139</v>
      </c>
      <c r="G76" s="3"/>
      <c r="H76" s="3"/>
      <c r="I76" s="3"/>
      <c r="J76" s="20"/>
      <c r="K76" s="20"/>
      <c r="L76" s="20">
        <f t="shared" si="12"/>
        <v>195742</v>
      </c>
      <c r="M76" s="108">
        <v>0</v>
      </c>
      <c r="N76" s="3">
        <f t="shared" si="11"/>
        <v>195742</v>
      </c>
    </row>
    <row r="77" spans="1:14" x14ac:dyDescent="0.3">
      <c r="A77" s="254"/>
      <c r="B77" s="261"/>
      <c r="C77" s="6" t="s">
        <v>49</v>
      </c>
      <c r="D77" s="7">
        <f>SUM(D64:D76)</f>
        <v>7607209</v>
      </c>
      <c r="E77" s="7">
        <v>6736472</v>
      </c>
      <c r="F77" s="7">
        <f t="shared" ref="F77:N77" si="13">SUM(F64:F76)</f>
        <v>-41432</v>
      </c>
      <c r="G77" s="7">
        <f t="shared" si="13"/>
        <v>0</v>
      </c>
      <c r="H77" s="7">
        <f t="shared" si="13"/>
        <v>0</v>
      </c>
      <c r="I77" s="7">
        <f t="shared" si="13"/>
        <v>-6880</v>
      </c>
      <c r="J77" s="7">
        <f t="shared" si="13"/>
        <v>0</v>
      </c>
      <c r="K77" s="7">
        <f t="shared" si="13"/>
        <v>0</v>
      </c>
      <c r="L77" s="7">
        <f t="shared" si="13"/>
        <v>6688160</v>
      </c>
      <c r="M77" s="110">
        <f t="shared" si="13"/>
        <v>4331129</v>
      </c>
      <c r="N77" s="7">
        <f t="shared" si="13"/>
        <v>2357031</v>
      </c>
    </row>
    <row r="78" spans="1:14" x14ac:dyDescent="0.3">
      <c r="A78" s="254"/>
      <c r="B78" s="261"/>
      <c r="C78" s="2" t="s">
        <v>50</v>
      </c>
      <c r="D78" s="3">
        <v>78740</v>
      </c>
      <c r="E78" s="3">
        <v>78740</v>
      </c>
      <c r="F78" s="3"/>
      <c r="G78" s="3"/>
      <c r="H78" s="3"/>
      <c r="I78" s="3"/>
      <c r="J78" s="20"/>
      <c r="K78" s="20"/>
      <c r="L78" s="20">
        <f t="shared" ref="L78:L79" si="14">E78+F78+G78+H78+I78+J78+K78</f>
        <v>78740</v>
      </c>
      <c r="M78" s="108">
        <v>78740</v>
      </c>
      <c r="N78" s="3">
        <f t="shared" ref="N78:N79" si="15">L78-M78</f>
        <v>0</v>
      </c>
    </row>
    <row r="79" spans="1:14" x14ac:dyDescent="0.3">
      <c r="A79" s="254"/>
      <c r="B79" s="261"/>
      <c r="C79" s="2" t="s">
        <v>51</v>
      </c>
      <c r="D79" s="3">
        <v>21260</v>
      </c>
      <c r="E79" s="3">
        <v>21260</v>
      </c>
      <c r="F79" s="3"/>
      <c r="G79" s="3"/>
      <c r="H79" s="3"/>
      <c r="I79" s="3"/>
      <c r="J79" s="20"/>
      <c r="K79" s="20"/>
      <c r="L79" s="20">
        <f t="shared" si="14"/>
        <v>21260</v>
      </c>
      <c r="M79" s="108">
        <v>21260</v>
      </c>
      <c r="N79" s="3">
        <f t="shared" si="15"/>
        <v>0</v>
      </c>
    </row>
    <row r="80" spans="1:14" x14ac:dyDescent="0.3">
      <c r="A80" s="254"/>
      <c r="B80" s="261"/>
      <c r="C80" s="6" t="s">
        <v>52</v>
      </c>
      <c r="D80" s="7">
        <f>SUM(D78:D79)</f>
        <v>100000</v>
      </c>
      <c r="E80" s="7">
        <v>100000</v>
      </c>
      <c r="F80" s="7">
        <f t="shared" ref="F80:N80" si="16">SUM(F78:F79)</f>
        <v>0</v>
      </c>
      <c r="G80" s="7">
        <f t="shared" si="16"/>
        <v>0</v>
      </c>
      <c r="H80" s="7">
        <f t="shared" si="16"/>
        <v>0</v>
      </c>
      <c r="I80" s="7">
        <f t="shared" si="16"/>
        <v>0</v>
      </c>
      <c r="J80" s="7">
        <f t="shared" si="16"/>
        <v>0</v>
      </c>
      <c r="K80" s="7">
        <f t="shared" si="16"/>
        <v>0</v>
      </c>
      <c r="L80" s="7">
        <f t="shared" si="16"/>
        <v>100000</v>
      </c>
      <c r="M80" s="110">
        <f t="shared" si="16"/>
        <v>100000</v>
      </c>
      <c r="N80" s="7">
        <f t="shared" si="16"/>
        <v>0</v>
      </c>
    </row>
    <row r="81" spans="1:14" x14ac:dyDescent="0.3">
      <c r="A81" s="281" t="s">
        <v>58</v>
      </c>
      <c r="B81" s="280" t="s">
        <v>46</v>
      </c>
      <c r="C81" s="15" t="s">
        <v>29</v>
      </c>
      <c r="D81" s="24">
        <v>410400</v>
      </c>
      <c r="E81" s="24">
        <v>446800</v>
      </c>
      <c r="F81" s="11"/>
      <c r="G81" s="187"/>
      <c r="H81" s="187"/>
      <c r="I81" s="11"/>
      <c r="J81" s="201">
        <v>-4000</v>
      </c>
      <c r="K81" s="201"/>
      <c r="L81" s="20">
        <f t="shared" ref="L81:L88" si="17">E81+F81+G81+H81+I81+J81+K81</f>
        <v>442800</v>
      </c>
      <c r="M81" s="108">
        <v>442800</v>
      </c>
      <c r="N81" s="3">
        <f t="shared" ref="N81:N88" si="18">L81-M81</f>
        <v>0</v>
      </c>
    </row>
    <row r="82" spans="1:14" x14ac:dyDescent="0.3">
      <c r="A82" s="282"/>
      <c r="B82" s="286"/>
      <c r="C82" s="15" t="s">
        <v>31</v>
      </c>
      <c r="D82" s="24">
        <v>76266</v>
      </c>
      <c r="E82" s="24">
        <v>83194</v>
      </c>
      <c r="F82" s="11"/>
      <c r="G82" s="187"/>
      <c r="H82" s="187"/>
      <c r="I82" s="11"/>
      <c r="J82" s="201">
        <v>-698</v>
      </c>
      <c r="K82" s="201"/>
      <c r="L82" s="20">
        <f t="shared" si="17"/>
        <v>82496</v>
      </c>
      <c r="M82" s="108">
        <v>82496</v>
      </c>
      <c r="N82" s="3">
        <f t="shared" si="18"/>
        <v>0</v>
      </c>
    </row>
    <row r="83" spans="1:14" x14ac:dyDescent="0.3">
      <c r="A83" s="281" t="s">
        <v>59</v>
      </c>
      <c r="B83" s="280" t="s">
        <v>23</v>
      </c>
      <c r="C83" s="15" t="s">
        <v>29</v>
      </c>
      <c r="D83" s="24">
        <v>603600</v>
      </c>
      <c r="E83" s="24">
        <v>341800</v>
      </c>
      <c r="F83" s="11"/>
      <c r="G83" s="187"/>
      <c r="H83" s="187"/>
      <c r="I83" s="11"/>
      <c r="J83" s="201"/>
      <c r="K83" s="201"/>
      <c r="L83" s="20">
        <f t="shared" si="17"/>
        <v>341800</v>
      </c>
      <c r="M83" s="108">
        <v>341800</v>
      </c>
      <c r="N83" s="3">
        <f t="shared" si="18"/>
        <v>0</v>
      </c>
    </row>
    <row r="84" spans="1:14" x14ac:dyDescent="0.3">
      <c r="A84" s="282"/>
      <c r="B84" s="286"/>
      <c r="C84" s="15" t="s">
        <v>31</v>
      </c>
      <c r="D84" s="24">
        <v>112169</v>
      </c>
      <c r="E84" s="24">
        <v>64003</v>
      </c>
      <c r="F84" s="11"/>
      <c r="G84" s="187"/>
      <c r="H84" s="187"/>
      <c r="I84" s="11"/>
      <c r="J84" s="201">
        <v>4</v>
      </c>
      <c r="K84" s="201"/>
      <c r="L84" s="20">
        <f t="shared" si="17"/>
        <v>64007</v>
      </c>
      <c r="M84" s="108">
        <v>64007</v>
      </c>
      <c r="N84" s="3">
        <f t="shared" si="18"/>
        <v>0</v>
      </c>
    </row>
    <row r="85" spans="1:14" x14ac:dyDescent="0.3">
      <c r="A85" s="281" t="s">
        <v>60</v>
      </c>
      <c r="B85" s="280" t="s">
        <v>23</v>
      </c>
      <c r="C85" s="15" t="s">
        <v>24</v>
      </c>
      <c r="D85" s="24">
        <v>10676226</v>
      </c>
      <c r="E85" s="24">
        <v>10373051</v>
      </c>
      <c r="F85" s="11"/>
      <c r="G85" s="187"/>
      <c r="H85" s="187"/>
      <c r="I85" s="11"/>
      <c r="J85" s="201"/>
      <c r="K85" s="201">
        <v>-44713</v>
      </c>
      <c r="L85" s="20">
        <f t="shared" si="17"/>
        <v>10328338</v>
      </c>
      <c r="M85" s="108">
        <v>10328338</v>
      </c>
      <c r="N85" s="3">
        <f t="shared" si="18"/>
        <v>0</v>
      </c>
    </row>
    <row r="86" spans="1:14" x14ac:dyDescent="0.3">
      <c r="A86" s="282"/>
      <c r="B86" s="286"/>
      <c r="C86" s="15" t="s">
        <v>31</v>
      </c>
      <c r="D86" s="24">
        <v>1989265</v>
      </c>
      <c r="E86" s="24">
        <v>1935515</v>
      </c>
      <c r="F86" s="11"/>
      <c r="G86" s="187"/>
      <c r="H86" s="187"/>
      <c r="I86" s="11"/>
      <c r="J86" s="201"/>
      <c r="K86" s="201">
        <v>-7825</v>
      </c>
      <c r="L86" s="20">
        <f t="shared" si="17"/>
        <v>1927690</v>
      </c>
      <c r="M86" s="108">
        <v>1927690</v>
      </c>
      <c r="N86" s="3">
        <f t="shared" si="18"/>
        <v>0</v>
      </c>
    </row>
    <row r="87" spans="1:14" x14ac:dyDescent="0.3">
      <c r="A87" s="281" t="s">
        <v>61</v>
      </c>
      <c r="B87" s="280" t="s">
        <v>46</v>
      </c>
      <c r="C87" s="15" t="s">
        <v>24</v>
      </c>
      <c r="D87" s="24">
        <v>8397674</v>
      </c>
      <c r="E87" s="24">
        <v>7711817</v>
      </c>
      <c r="F87" s="11"/>
      <c r="G87" s="187"/>
      <c r="H87" s="187">
        <v>13629</v>
      </c>
      <c r="I87" s="11"/>
      <c r="J87" s="201"/>
      <c r="K87" s="201">
        <v>-58652</v>
      </c>
      <c r="L87" s="20">
        <f t="shared" si="17"/>
        <v>7666794</v>
      </c>
      <c r="M87" s="108">
        <v>7666585</v>
      </c>
      <c r="N87" s="3">
        <f t="shared" si="18"/>
        <v>209</v>
      </c>
    </row>
    <row r="88" spans="1:14" x14ac:dyDescent="0.3">
      <c r="A88" s="282"/>
      <c r="B88" s="286"/>
      <c r="C88" s="15" t="s">
        <v>31</v>
      </c>
      <c r="D88" s="24">
        <v>1563353</v>
      </c>
      <c r="E88" s="24">
        <v>1437826</v>
      </c>
      <c r="F88" s="11"/>
      <c r="G88" s="187"/>
      <c r="H88" s="187">
        <v>2387</v>
      </c>
      <c r="I88" s="11"/>
      <c r="J88" s="201"/>
      <c r="K88" s="201">
        <v>-10269</v>
      </c>
      <c r="L88" s="20">
        <f t="shared" si="17"/>
        <v>1429944</v>
      </c>
      <c r="M88" s="108">
        <v>1427557</v>
      </c>
      <c r="N88" s="3">
        <f t="shared" si="18"/>
        <v>2387</v>
      </c>
    </row>
    <row r="89" spans="1:14" x14ac:dyDescent="0.3">
      <c r="A89" s="319" t="s">
        <v>76</v>
      </c>
      <c r="B89" s="320"/>
      <c r="C89" s="321"/>
      <c r="D89" s="80">
        <f t="shared" ref="D89:N89" si="19">SUM(D33+D34+D49+D52+D62+D63+D77+D80+D81+D82+D83+D84+D85+D86+D87+D88)</f>
        <v>118207303</v>
      </c>
      <c r="E89" s="80">
        <v>115559275</v>
      </c>
      <c r="F89" s="80">
        <f t="shared" si="19"/>
        <v>18731</v>
      </c>
      <c r="G89" s="80">
        <f t="shared" si="19"/>
        <v>0</v>
      </c>
      <c r="H89" s="80">
        <f t="shared" si="19"/>
        <v>16016</v>
      </c>
      <c r="I89" s="80">
        <f t="shared" si="19"/>
        <v>-12604</v>
      </c>
      <c r="J89" s="80">
        <f t="shared" si="19"/>
        <v>-4694</v>
      </c>
      <c r="K89" s="80">
        <f t="shared" si="19"/>
        <v>-121459</v>
      </c>
      <c r="L89" s="80">
        <f t="shared" si="19"/>
        <v>115455265</v>
      </c>
      <c r="M89" s="80">
        <f t="shared" si="19"/>
        <v>107930232</v>
      </c>
      <c r="N89" s="80">
        <f t="shared" si="19"/>
        <v>7525033</v>
      </c>
    </row>
    <row r="90" spans="1:14" x14ac:dyDescent="0.3">
      <c r="A90" s="254" t="s">
        <v>12</v>
      </c>
      <c r="B90" s="261" t="s">
        <v>23</v>
      </c>
      <c r="C90" s="2" t="s">
        <v>24</v>
      </c>
      <c r="D90" s="3">
        <v>4811583</v>
      </c>
      <c r="E90" s="3">
        <v>4914162</v>
      </c>
      <c r="F90" s="3">
        <v>-315610</v>
      </c>
      <c r="G90" s="3"/>
      <c r="H90" s="3"/>
      <c r="I90" s="3"/>
      <c r="J90" s="20"/>
      <c r="K90" s="20"/>
      <c r="L90" s="20">
        <f t="shared" ref="L90:L96" si="20">E90+F90+G90+H90+I90+J90+K90</f>
        <v>4598552</v>
      </c>
      <c r="M90" s="108">
        <v>4598552</v>
      </c>
      <c r="N90" s="3">
        <f t="shared" ref="N90:N96" si="21">L90-M90</f>
        <v>0</v>
      </c>
    </row>
    <row r="91" spans="1:14" x14ac:dyDescent="0.3">
      <c r="A91" s="254"/>
      <c r="B91" s="261"/>
      <c r="C91" s="2" t="s">
        <v>25</v>
      </c>
      <c r="D91" s="3">
        <v>200000</v>
      </c>
      <c r="E91" s="3">
        <v>200000</v>
      </c>
      <c r="F91" s="3">
        <v>40000</v>
      </c>
      <c r="G91" s="3"/>
      <c r="H91" s="3"/>
      <c r="I91" s="3"/>
      <c r="J91" s="20"/>
      <c r="K91" s="20"/>
      <c r="L91" s="20">
        <f t="shared" si="20"/>
        <v>240000</v>
      </c>
      <c r="M91" s="108">
        <v>240000</v>
      </c>
      <c r="N91" s="3">
        <f t="shared" si="21"/>
        <v>0</v>
      </c>
    </row>
    <row r="92" spans="1:14" x14ac:dyDescent="0.3">
      <c r="A92" s="254"/>
      <c r="B92" s="261"/>
      <c r="C92" s="2" t="s">
        <v>26</v>
      </c>
      <c r="D92" s="3">
        <v>10000</v>
      </c>
      <c r="E92" s="3">
        <v>10000</v>
      </c>
      <c r="F92" s="3"/>
      <c r="G92" s="3"/>
      <c r="H92" s="3"/>
      <c r="I92" s="3"/>
      <c r="J92" s="20"/>
      <c r="K92" s="20"/>
      <c r="L92" s="20">
        <f t="shared" si="20"/>
        <v>10000</v>
      </c>
      <c r="M92" s="108">
        <v>10000</v>
      </c>
      <c r="N92" s="3">
        <f t="shared" si="21"/>
        <v>0</v>
      </c>
    </row>
    <row r="93" spans="1:14" x14ac:dyDescent="0.3">
      <c r="A93" s="254"/>
      <c r="B93" s="261"/>
      <c r="C93" s="2" t="s">
        <v>27</v>
      </c>
      <c r="D93" s="3">
        <v>198000</v>
      </c>
      <c r="E93" s="3">
        <v>198000</v>
      </c>
      <c r="F93" s="3">
        <v>-18180</v>
      </c>
      <c r="G93" s="3"/>
      <c r="H93" s="3"/>
      <c r="I93" s="3"/>
      <c r="J93" s="20"/>
      <c r="K93" s="20"/>
      <c r="L93" s="20">
        <f t="shared" si="20"/>
        <v>179820</v>
      </c>
      <c r="M93" s="108">
        <v>179820</v>
      </c>
      <c r="N93" s="3">
        <f t="shared" si="21"/>
        <v>0</v>
      </c>
    </row>
    <row r="94" spans="1:14" x14ac:dyDescent="0.3">
      <c r="A94" s="254"/>
      <c r="B94" s="261"/>
      <c r="C94" s="2" t="s">
        <v>28</v>
      </c>
      <c r="D94" s="3">
        <v>24000</v>
      </c>
      <c r="E94" s="3">
        <v>24000</v>
      </c>
      <c r="F94" s="3"/>
      <c r="G94" s="3"/>
      <c r="H94" s="3"/>
      <c r="I94" s="3"/>
      <c r="J94" s="20"/>
      <c r="K94" s="20"/>
      <c r="L94" s="20">
        <f t="shared" si="20"/>
        <v>24000</v>
      </c>
      <c r="M94" s="108">
        <v>24000</v>
      </c>
      <c r="N94" s="3">
        <f t="shared" si="21"/>
        <v>0</v>
      </c>
    </row>
    <row r="95" spans="1:14" x14ac:dyDescent="0.3">
      <c r="A95" s="254"/>
      <c r="B95" s="261"/>
      <c r="C95" s="2" t="s">
        <v>29</v>
      </c>
      <c r="D95" s="3">
        <v>75000</v>
      </c>
      <c r="E95" s="3">
        <v>253715</v>
      </c>
      <c r="F95" s="3">
        <f>-56000-75000</f>
        <v>-131000</v>
      </c>
      <c r="G95" s="3"/>
      <c r="H95" s="3"/>
      <c r="I95" s="3"/>
      <c r="J95" s="20"/>
      <c r="K95" s="20"/>
      <c r="L95" s="20">
        <f t="shared" si="20"/>
        <v>122715</v>
      </c>
      <c r="M95" s="108">
        <v>122715</v>
      </c>
      <c r="N95" s="3">
        <f t="shared" si="21"/>
        <v>0</v>
      </c>
    </row>
    <row r="96" spans="1:14" x14ac:dyDescent="0.3">
      <c r="A96" s="254"/>
      <c r="B96" s="261"/>
      <c r="C96" s="2" t="s">
        <v>30</v>
      </c>
      <c r="D96" s="3">
        <v>0</v>
      </c>
      <c r="E96" s="3">
        <v>6878</v>
      </c>
      <c r="F96" s="3"/>
      <c r="G96" s="3"/>
      <c r="H96" s="3"/>
      <c r="I96" s="3"/>
      <c r="J96" s="20"/>
      <c r="K96" s="20"/>
      <c r="L96" s="20">
        <f t="shared" si="20"/>
        <v>6878</v>
      </c>
      <c r="M96" s="108">
        <v>6878</v>
      </c>
      <c r="N96" s="3">
        <f t="shared" si="21"/>
        <v>0</v>
      </c>
    </row>
    <row r="97" spans="1:14" x14ac:dyDescent="0.3">
      <c r="A97" s="254"/>
      <c r="B97" s="261"/>
      <c r="C97" s="6" t="s">
        <v>53</v>
      </c>
      <c r="D97" s="7">
        <f>SUM(D90:D96)</f>
        <v>5318583</v>
      </c>
      <c r="E97" s="7">
        <v>5606755</v>
      </c>
      <c r="F97" s="7">
        <f t="shared" ref="F97:N97" si="22">SUM(F90:F96)</f>
        <v>-424790</v>
      </c>
      <c r="G97" s="7">
        <f t="shared" si="22"/>
        <v>0</v>
      </c>
      <c r="H97" s="7">
        <f t="shared" si="22"/>
        <v>0</v>
      </c>
      <c r="I97" s="7">
        <f t="shared" si="22"/>
        <v>0</v>
      </c>
      <c r="J97" s="7">
        <f t="shared" si="22"/>
        <v>0</v>
      </c>
      <c r="K97" s="7">
        <f t="shared" si="22"/>
        <v>0</v>
      </c>
      <c r="L97" s="7">
        <f t="shared" si="22"/>
        <v>5181965</v>
      </c>
      <c r="M97" s="110">
        <f t="shared" si="22"/>
        <v>5181965</v>
      </c>
      <c r="N97" s="7">
        <f t="shared" si="22"/>
        <v>0</v>
      </c>
    </row>
    <row r="98" spans="1:14" x14ac:dyDescent="0.3">
      <c r="A98" s="254"/>
      <c r="B98" s="261"/>
      <c r="C98" s="82" t="s">
        <v>31</v>
      </c>
      <c r="D98" s="83">
        <v>1035556</v>
      </c>
      <c r="E98" s="83">
        <v>1091378</v>
      </c>
      <c r="F98" s="83">
        <v>-30793</v>
      </c>
      <c r="G98" s="83"/>
      <c r="H98" s="83"/>
      <c r="I98" s="83"/>
      <c r="J98" s="191"/>
      <c r="K98" s="191"/>
      <c r="L98" s="84">
        <f t="shared" ref="L98:L108" si="23">E98+F98+G98+H98+I98+J98+K98</f>
        <v>1060585</v>
      </c>
      <c r="M98" s="111">
        <v>1032358</v>
      </c>
      <c r="N98" s="85">
        <f t="shared" ref="N98:N108" si="24">L98-M98</f>
        <v>28227</v>
      </c>
    </row>
    <row r="99" spans="1:14" x14ac:dyDescent="0.3">
      <c r="A99" s="254"/>
      <c r="B99" s="261"/>
      <c r="C99" s="2" t="s">
        <v>32</v>
      </c>
      <c r="D99" s="3">
        <v>100000</v>
      </c>
      <c r="E99" s="3">
        <v>304254</v>
      </c>
      <c r="F99" s="3">
        <v>62860</v>
      </c>
      <c r="G99" s="3"/>
      <c r="H99" s="3"/>
      <c r="I99" s="3"/>
      <c r="J99" s="20"/>
      <c r="K99" s="20"/>
      <c r="L99" s="20">
        <f t="shared" si="23"/>
        <v>367114</v>
      </c>
      <c r="M99" s="108">
        <v>367114</v>
      </c>
      <c r="N99" s="3">
        <f t="shared" si="24"/>
        <v>0</v>
      </c>
    </row>
    <row r="100" spans="1:14" x14ac:dyDescent="0.3">
      <c r="A100" s="254"/>
      <c r="B100" s="261"/>
      <c r="C100" s="2" t="s">
        <v>33</v>
      </c>
      <c r="D100" s="3">
        <v>100000</v>
      </c>
      <c r="E100" s="3">
        <v>227485</v>
      </c>
      <c r="F100" s="3">
        <v>438979</v>
      </c>
      <c r="G100" s="3"/>
      <c r="H100" s="3"/>
      <c r="I100" s="3"/>
      <c r="J100" s="20"/>
      <c r="K100" s="20"/>
      <c r="L100" s="20">
        <f t="shared" si="23"/>
        <v>666464</v>
      </c>
      <c r="M100" s="108">
        <v>666464</v>
      </c>
      <c r="N100" s="3">
        <f t="shared" si="24"/>
        <v>0</v>
      </c>
    </row>
    <row r="101" spans="1:14" x14ac:dyDescent="0.3">
      <c r="A101" s="254"/>
      <c r="B101" s="261"/>
      <c r="C101" s="2" t="s">
        <v>34</v>
      </c>
      <c r="D101" s="3">
        <v>210000</v>
      </c>
      <c r="E101" s="3">
        <v>0</v>
      </c>
      <c r="F101" s="3"/>
      <c r="G101" s="3"/>
      <c r="H101" s="3"/>
      <c r="I101" s="3"/>
      <c r="J101" s="20"/>
      <c r="K101" s="20"/>
      <c r="L101" s="20">
        <f t="shared" si="23"/>
        <v>0</v>
      </c>
      <c r="M101" s="108">
        <v>0</v>
      </c>
      <c r="N101" s="3">
        <f t="shared" si="24"/>
        <v>0</v>
      </c>
    </row>
    <row r="102" spans="1:14" x14ac:dyDescent="0.3">
      <c r="A102" s="254"/>
      <c r="B102" s="261"/>
      <c r="C102" s="2" t="s">
        <v>35</v>
      </c>
      <c r="D102" s="3">
        <v>110000</v>
      </c>
      <c r="E102" s="3">
        <v>0</v>
      </c>
      <c r="F102" s="3"/>
      <c r="G102" s="3"/>
      <c r="H102" s="3"/>
      <c r="I102" s="3"/>
      <c r="J102" s="20"/>
      <c r="K102" s="20"/>
      <c r="L102" s="20">
        <f t="shared" si="23"/>
        <v>0</v>
      </c>
      <c r="M102" s="108">
        <v>0</v>
      </c>
      <c r="N102" s="3">
        <f t="shared" si="24"/>
        <v>0</v>
      </c>
    </row>
    <row r="103" spans="1:14" x14ac:dyDescent="0.3">
      <c r="A103" s="254"/>
      <c r="B103" s="261"/>
      <c r="C103" s="2" t="s">
        <v>36</v>
      </c>
      <c r="D103" s="3">
        <v>500000</v>
      </c>
      <c r="E103" s="3">
        <v>499100</v>
      </c>
      <c r="F103" s="3">
        <v>-54967</v>
      </c>
      <c r="G103" s="3"/>
      <c r="H103" s="3"/>
      <c r="I103" s="3"/>
      <c r="J103" s="20"/>
      <c r="K103" s="20"/>
      <c r="L103" s="20">
        <f t="shared" si="23"/>
        <v>444133</v>
      </c>
      <c r="M103" s="108">
        <v>444133</v>
      </c>
      <c r="N103" s="3">
        <f t="shared" si="24"/>
        <v>0</v>
      </c>
    </row>
    <row r="104" spans="1:14" x14ac:dyDescent="0.3">
      <c r="A104" s="254"/>
      <c r="B104" s="261"/>
      <c r="C104" s="2" t="s">
        <v>38</v>
      </c>
      <c r="D104" s="3">
        <v>140000</v>
      </c>
      <c r="E104" s="3">
        <v>93641</v>
      </c>
      <c r="F104" s="3">
        <v>-91400</v>
      </c>
      <c r="G104" s="3"/>
      <c r="H104" s="3"/>
      <c r="I104" s="3"/>
      <c r="J104" s="20"/>
      <c r="K104" s="20"/>
      <c r="L104" s="20">
        <f t="shared" si="23"/>
        <v>2241</v>
      </c>
      <c r="M104" s="108">
        <v>2241</v>
      </c>
      <c r="N104" s="3">
        <f t="shared" si="24"/>
        <v>0</v>
      </c>
    </row>
    <row r="105" spans="1:14" x14ac:dyDescent="0.3">
      <c r="A105" s="254"/>
      <c r="B105" s="261"/>
      <c r="C105" s="2" t="s">
        <v>40</v>
      </c>
      <c r="D105" s="3">
        <v>16800</v>
      </c>
      <c r="E105" s="3">
        <v>20200</v>
      </c>
      <c r="F105" s="3">
        <v>-6600</v>
      </c>
      <c r="G105" s="3"/>
      <c r="H105" s="3"/>
      <c r="I105" s="3"/>
      <c r="J105" s="20"/>
      <c r="K105" s="20"/>
      <c r="L105" s="20">
        <f t="shared" si="23"/>
        <v>13600</v>
      </c>
      <c r="M105" s="108">
        <v>13600</v>
      </c>
      <c r="N105" s="3">
        <f t="shared" si="24"/>
        <v>0</v>
      </c>
    </row>
    <row r="106" spans="1:14" x14ac:dyDescent="0.3">
      <c r="A106" s="254"/>
      <c r="B106" s="261"/>
      <c r="C106" s="2" t="s">
        <v>41</v>
      </c>
      <c r="D106" s="3">
        <v>80000</v>
      </c>
      <c r="E106" s="3">
        <v>117280</v>
      </c>
      <c r="F106" s="3">
        <f>-25300+75000</f>
        <v>49700</v>
      </c>
      <c r="G106" s="3"/>
      <c r="H106" s="3"/>
      <c r="I106" s="3"/>
      <c r="J106" s="20"/>
      <c r="K106" s="20"/>
      <c r="L106" s="20">
        <f t="shared" si="23"/>
        <v>166980</v>
      </c>
      <c r="M106" s="108">
        <v>166980</v>
      </c>
      <c r="N106" s="3">
        <f t="shared" si="24"/>
        <v>0</v>
      </c>
    </row>
    <row r="107" spans="1:14" x14ac:dyDescent="0.3">
      <c r="A107" s="254"/>
      <c r="B107" s="261"/>
      <c r="C107" s="2" t="s">
        <v>42</v>
      </c>
      <c r="D107" s="3">
        <v>240000</v>
      </c>
      <c r="E107" s="3">
        <v>240000</v>
      </c>
      <c r="F107" s="3">
        <v>-61915</v>
      </c>
      <c r="G107" s="3"/>
      <c r="H107" s="3"/>
      <c r="I107" s="3"/>
      <c r="J107" s="20"/>
      <c r="K107" s="20"/>
      <c r="L107" s="20">
        <f t="shared" si="23"/>
        <v>178085</v>
      </c>
      <c r="M107" s="108">
        <v>178085</v>
      </c>
      <c r="N107" s="3">
        <f t="shared" si="24"/>
        <v>0</v>
      </c>
    </row>
    <row r="108" spans="1:14" x14ac:dyDescent="0.3">
      <c r="A108" s="254"/>
      <c r="B108" s="261"/>
      <c r="C108" s="2" t="s">
        <v>44</v>
      </c>
      <c r="D108" s="3">
        <v>200600</v>
      </c>
      <c r="E108" s="3">
        <v>195440</v>
      </c>
      <c r="F108" s="3">
        <v>118926</v>
      </c>
      <c r="G108" s="3"/>
      <c r="H108" s="3"/>
      <c r="I108" s="3"/>
      <c r="J108" s="20"/>
      <c r="K108" s="20"/>
      <c r="L108" s="20">
        <f t="shared" si="23"/>
        <v>314366</v>
      </c>
      <c r="M108" s="108">
        <v>314366</v>
      </c>
      <c r="N108" s="3">
        <f t="shared" si="24"/>
        <v>0</v>
      </c>
    </row>
    <row r="109" spans="1:14" x14ac:dyDescent="0.3">
      <c r="A109" s="254"/>
      <c r="B109" s="261"/>
      <c r="C109" s="6" t="s">
        <v>49</v>
      </c>
      <c r="D109" s="7">
        <f>SUM(D99:D108)</f>
        <v>1697400</v>
      </c>
      <c r="E109" s="7">
        <v>1697400</v>
      </c>
      <c r="F109" s="7">
        <f t="shared" ref="F109:N109" si="25">SUM(F99:F108)</f>
        <v>455583</v>
      </c>
      <c r="G109" s="7">
        <f t="shared" si="25"/>
        <v>0</v>
      </c>
      <c r="H109" s="7">
        <f t="shared" si="25"/>
        <v>0</v>
      </c>
      <c r="I109" s="7">
        <f t="shared" si="25"/>
        <v>0</v>
      </c>
      <c r="J109" s="7">
        <f t="shared" si="25"/>
        <v>0</v>
      </c>
      <c r="K109" s="7">
        <f t="shared" si="25"/>
        <v>0</v>
      </c>
      <c r="L109" s="7">
        <f t="shared" si="25"/>
        <v>2152983</v>
      </c>
      <c r="M109" s="110">
        <f t="shared" si="25"/>
        <v>2152983</v>
      </c>
      <c r="N109" s="7">
        <f t="shared" si="25"/>
        <v>0</v>
      </c>
    </row>
    <row r="110" spans="1:14" x14ac:dyDescent="0.3">
      <c r="A110" s="262" t="s">
        <v>62</v>
      </c>
      <c r="B110" s="264" t="s">
        <v>23</v>
      </c>
      <c r="C110" s="15" t="s">
        <v>29</v>
      </c>
      <c r="D110" s="24">
        <v>111600</v>
      </c>
      <c r="E110" s="24">
        <v>67600</v>
      </c>
      <c r="F110" s="11"/>
      <c r="G110" s="187"/>
      <c r="H110" s="187"/>
      <c r="I110" s="11"/>
      <c r="J110" s="192"/>
      <c r="K110" s="192"/>
      <c r="L110" s="20">
        <f t="shared" ref="L110:L113" si="26">E110+F110+G110+H110+I110+J110+K110</f>
        <v>67600</v>
      </c>
      <c r="M110" s="108">
        <v>67600</v>
      </c>
      <c r="N110" s="3">
        <f t="shared" ref="N110:N113" si="27">L110-M110</f>
        <v>0</v>
      </c>
    </row>
    <row r="111" spans="1:14" x14ac:dyDescent="0.3">
      <c r="A111" s="263"/>
      <c r="B111" s="265"/>
      <c r="C111" s="15" t="s">
        <v>31</v>
      </c>
      <c r="D111" s="24">
        <v>20739</v>
      </c>
      <c r="E111" s="24">
        <v>12650</v>
      </c>
      <c r="F111" s="11"/>
      <c r="G111" s="187"/>
      <c r="H111" s="187"/>
      <c r="I111" s="11"/>
      <c r="J111" s="192">
        <v>1</v>
      </c>
      <c r="K111" s="192"/>
      <c r="L111" s="20">
        <f>E111+F111+G111+H111+I111+J111+K111</f>
        <v>12651</v>
      </c>
      <c r="M111" s="108">
        <v>12651</v>
      </c>
      <c r="N111" s="3">
        <f t="shared" si="27"/>
        <v>0</v>
      </c>
    </row>
    <row r="112" spans="1:14" x14ac:dyDescent="0.3">
      <c r="A112" s="262" t="s">
        <v>63</v>
      </c>
      <c r="B112" s="264" t="s">
        <v>23</v>
      </c>
      <c r="C112" s="15" t="s">
        <v>24</v>
      </c>
      <c r="D112" s="24">
        <v>1460272</v>
      </c>
      <c r="E112" s="24">
        <v>1504230</v>
      </c>
      <c r="F112" s="11"/>
      <c r="G112" s="187"/>
      <c r="H112" s="187"/>
      <c r="I112" s="11"/>
      <c r="J112" s="192"/>
      <c r="K112" s="192"/>
      <c r="L112" s="20">
        <f t="shared" si="26"/>
        <v>1504230</v>
      </c>
      <c r="M112" s="108">
        <v>1504230</v>
      </c>
      <c r="N112" s="3">
        <f t="shared" si="27"/>
        <v>0</v>
      </c>
    </row>
    <row r="113" spans="1:14" x14ac:dyDescent="0.3">
      <c r="A113" s="263"/>
      <c r="B113" s="265"/>
      <c r="C113" s="15" t="s">
        <v>31</v>
      </c>
      <c r="D113" s="24">
        <v>272168</v>
      </c>
      <c r="E113" s="24">
        <v>280740</v>
      </c>
      <c r="F113" s="11"/>
      <c r="G113" s="187"/>
      <c r="H113" s="187"/>
      <c r="I113" s="11"/>
      <c r="J113" s="192"/>
      <c r="K113" s="192">
        <v>-1</v>
      </c>
      <c r="L113" s="20">
        <f t="shared" si="26"/>
        <v>280739</v>
      </c>
      <c r="M113" s="108">
        <v>280739</v>
      </c>
      <c r="N113" s="3">
        <f t="shared" si="27"/>
        <v>0</v>
      </c>
    </row>
    <row r="114" spans="1:14" x14ac:dyDescent="0.3">
      <c r="A114" s="319" t="s">
        <v>77</v>
      </c>
      <c r="B114" s="320"/>
      <c r="C114" s="321"/>
      <c r="D114" s="80">
        <f>SUM(D97+D98+D109+D110+D111+D112+D113)</f>
        <v>9916318</v>
      </c>
      <c r="E114" s="80">
        <v>10260753</v>
      </c>
      <c r="F114" s="80">
        <f t="shared" ref="F114:N114" si="28">SUM(F97+F98+F109+F110+F111+F112+F113)</f>
        <v>0</v>
      </c>
      <c r="G114" s="80">
        <f t="shared" si="28"/>
        <v>0</v>
      </c>
      <c r="H114" s="80">
        <f t="shared" si="28"/>
        <v>0</v>
      </c>
      <c r="I114" s="80">
        <f t="shared" si="28"/>
        <v>0</v>
      </c>
      <c r="J114" s="80">
        <f t="shared" si="28"/>
        <v>1</v>
      </c>
      <c r="K114" s="80">
        <f t="shared" si="28"/>
        <v>-1</v>
      </c>
      <c r="L114" s="80">
        <f t="shared" si="28"/>
        <v>10260753</v>
      </c>
      <c r="M114" s="112">
        <f t="shared" si="28"/>
        <v>10232526</v>
      </c>
      <c r="N114" s="80">
        <f t="shared" si="28"/>
        <v>28227</v>
      </c>
    </row>
    <row r="115" spans="1:14" x14ac:dyDescent="0.3">
      <c r="A115" s="254" t="s">
        <v>13</v>
      </c>
      <c r="B115" s="261" t="s">
        <v>23</v>
      </c>
      <c r="C115" s="2" t="s">
        <v>24</v>
      </c>
      <c r="D115" s="3">
        <v>4871210</v>
      </c>
      <c r="E115" s="3">
        <v>4944394</v>
      </c>
      <c r="F115" s="3">
        <v>-40000</v>
      </c>
      <c r="G115" s="3"/>
      <c r="H115" s="3"/>
      <c r="I115" s="3"/>
      <c r="J115" s="20"/>
      <c r="K115" s="20"/>
      <c r="L115" s="20">
        <f t="shared" ref="L115:L120" si="29">E115+F115+G115+H115+I115+J115+K115</f>
        <v>4904394</v>
      </c>
      <c r="M115" s="108">
        <v>4766883</v>
      </c>
      <c r="N115" s="3">
        <f t="shared" ref="N115:N120" si="30">L115-M115</f>
        <v>137511</v>
      </c>
    </row>
    <row r="116" spans="1:14" x14ac:dyDescent="0.3">
      <c r="A116" s="254"/>
      <c r="B116" s="261"/>
      <c r="C116" s="2" t="s">
        <v>25</v>
      </c>
      <c r="D116" s="3">
        <v>200000</v>
      </c>
      <c r="E116" s="3">
        <v>200000</v>
      </c>
      <c r="F116" s="3">
        <v>40000</v>
      </c>
      <c r="G116" s="3"/>
      <c r="H116" s="3"/>
      <c r="I116" s="3"/>
      <c r="J116" s="20"/>
      <c r="K116" s="20"/>
      <c r="L116" s="20">
        <f t="shared" si="29"/>
        <v>240000</v>
      </c>
      <c r="M116" s="108">
        <v>240000</v>
      </c>
      <c r="N116" s="3">
        <f t="shared" si="30"/>
        <v>0</v>
      </c>
    </row>
    <row r="117" spans="1:14" x14ac:dyDescent="0.3">
      <c r="A117" s="254"/>
      <c r="B117" s="261"/>
      <c r="C117" s="2" t="s">
        <v>26</v>
      </c>
      <c r="D117" s="3">
        <v>10000</v>
      </c>
      <c r="E117" s="3">
        <v>10000</v>
      </c>
      <c r="F117" s="3"/>
      <c r="G117" s="3"/>
      <c r="H117" s="3"/>
      <c r="I117" s="3"/>
      <c r="J117" s="20"/>
      <c r="K117" s="20"/>
      <c r="L117" s="20">
        <f t="shared" si="29"/>
        <v>10000</v>
      </c>
      <c r="M117" s="108">
        <v>10000</v>
      </c>
      <c r="N117" s="3">
        <f t="shared" si="30"/>
        <v>0</v>
      </c>
    </row>
    <row r="118" spans="1:14" x14ac:dyDescent="0.3">
      <c r="A118" s="254"/>
      <c r="B118" s="261"/>
      <c r="C118" s="2" t="s">
        <v>28</v>
      </c>
      <c r="D118" s="3">
        <v>24000</v>
      </c>
      <c r="E118" s="3">
        <v>24000</v>
      </c>
      <c r="F118" s="3"/>
      <c r="G118" s="3"/>
      <c r="H118" s="3"/>
      <c r="I118" s="3"/>
      <c r="J118" s="20"/>
      <c r="K118" s="20"/>
      <c r="L118" s="20">
        <f t="shared" si="29"/>
        <v>24000</v>
      </c>
      <c r="M118" s="108">
        <v>24000</v>
      </c>
      <c r="N118" s="3">
        <f t="shared" si="30"/>
        <v>0</v>
      </c>
    </row>
    <row r="119" spans="1:14" x14ac:dyDescent="0.3">
      <c r="A119" s="254"/>
      <c r="B119" s="261"/>
      <c r="C119" s="2" t="s">
        <v>29</v>
      </c>
      <c r="D119" s="3">
        <v>75000</v>
      </c>
      <c r="E119" s="3">
        <v>196617</v>
      </c>
      <c r="F119" s="3">
        <v>-75000</v>
      </c>
      <c r="G119" s="3"/>
      <c r="H119" s="3"/>
      <c r="I119" s="3"/>
      <c r="J119" s="20"/>
      <c r="K119" s="20"/>
      <c r="L119" s="20">
        <f t="shared" si="29"/>
        <v>121617</v>
      </c>
      <c r="M119" s="108">
        <v>86617</v>
      </c>
      <c r="N119" s="3">
        <f t="shared" si="30"/>
        <v>35000</v>
      </c>
    </row>
    <row r="120" spans="1:14" x14ac:dyDescent="0.3">
      <c r="A120" s="254"/>
      <c r="B120" s="261"/>
      <c r="C120" s="2" t="s">
        <v>30</v>
      </c>
      <c r="D120" s="3">
        <v>0</v>
      </c>
      <c r="E120" s="3">
        <v>6886</v>
      </c>
      <c r="F120" s="3"/>
      <c r="G120" s="3"/>
      <c r="H120" s="3"/>
      <c r="I120" s="3"/>
      <c r="J120" s="20"/>
      <c r="K120" s="20"/>
      <c r="L120" s="20">
        <f t="shared" si="29"/>
        <v>6886</v>
      </c>
      <c r="M120" s="108">
        <v>6886</v>
      </c>
      <c r="N120" s="3">
        <f t="shared" si="30"/>
        <v>0</v>
      </c>
    </row>
    <row r="121" spans="1:14" x14ac:dyDescent="0.3">
      <c r="A121" s="254"/>
      <c r="B121" s="261"/>
      <c r="C121" s="6" t="s">
        <v>53</v>
      </c>
      <c r="D121" s="7">
        <f>SUM(D115:D120)</f>
        <v>5180210</v>
      </c>
      <c r="E121" s="7">
        <v>5381897</v>
      </c>
      <c r="F121" s="7">
        <f t="shared" ref="F121:N121" si="31">SUM(F115:F120)</f>
        <v>-75000</v>
      </c>
      <c r="G121" s="7">
        <f t="shared" si="31"/>
        <v>0</v>
      </c>
      <c r="H121" s="7">
        <f t="shared" si="31"/>
        <v>0</v>
      </c>
      <c r="I121" s="7">
        <f t="shared" si="31"/>
        <v>0</v>
      </c>
      <c r="J121" s="7">
        <f t="shared" si="31"/>
        <v>0</v>
      </c>
      <c r="K121" s="7">
        <f t="shared" si="31"/>
        <v>0</v>
      </c>
      <c r="L121" s="7">
        <f t="shared" si="31"/>
        <v>5306897</v>
      </c>
      <c r="M121" s="110">
        <f t="shared" si="31"/>
        <v>5134386</v>
      </c>
      <c r="N121" s="7">
        <f t="shared" si="31"/>
        <v>172511</v>
      </c>
    </row>
    <row r="122" spans="1:14" x14ac:dyDescent="0.3">
      <c r="A122" s="254"/>
      <c r="B122" s="261"/>
      <c r="C122" s="82" t="s">
        <v>31</v>
      </c>
      <c r="D122" s="83">
        <v>1046402</v>
      </c>
      <c r="E122" s="83">
        <v>1085449</v>
      </c>
      <c r="F122" s="83"/>
      <c r="G122" s="83"/>
      <c r="H122" s="83"/>
      <c r="I122" s="83"/>
      <c r="J122" s="191"/>
      <c r="K122" s="191"/>
      <c r="L122" s="84">
        <f t="shared" ref="L122:L130" si="32">E122+F122+G122+H122+I122+J122+K122</f>
        <v>1085449</v>
      </c>
      <c r="M122" s="111">
        <v>1057452</v>
      </c>
      <c r="N122" s="85">
        <f t="shared" ref="N122:N130" si="33">L122-M122</f>
        <v>27997</v>
      </c>
    </row>
    <row r="123" spans="1:14" x14ac:dyDescent="0.3">
      <c r="A123" s="254"/>
      <c r="B123" s="261"/>
      <c r="C123" s="2" t="s">
        <v>32</v>
      </c>
      <c r="D123" s="3">
        <v>50000</v>
      </c>
      <c r="E123" s="3">
        <v>50000</v>
      </c>
      <c r="F123" s="3"/>
      <c r="G123" s="3"/>
      <c r="H123" s="3"/>
      <c r="I123" s="3"/>
      <c r="J123" s="20"/>
      <c r="K123" s="20"/>
      <c r="L123" s="20">
        <f t="shared" si="32"/>
        <v>50000</v>
      </c>
      <c r="M123" s="108">
        <v>0</v>
      </c>
      <c r="N123" s="3">
        <f t="shared" si="33"/>
        <v>50000</v>
      </c>
    </row>
    <row r="124" spans="1:14" x14ac:dyDescent="0.3">
      <c r="A124" s="254"/>
      <c r="B124" s="261"/>
      <c r="C124" s="2" t="s">
        <v>33</v>
      </c>
      <c r="D124" s="3">
        <v>100000</v>
      </c>
      <c r="E124" s="3">
        <v>70000</v>
      </c>
      <c r="F124" s="3"/>
      <c r="G124" s="3"/>
      <c r="H124" s="3"/>
      <c r="I124" s="3"/>
      <c r="J124" s="20"/>
      <c r="K124" s="20"/>
      <c r="L124" s="20">
        <f t="shared" si="32"/>
        <v>70000</v>
      </c>
      <c r="M124" s="108">
        <v>0</v>
      </c>
      <c r="N124" s="3">
        <f t="shared" si="33"/>
        <v>70000</v>
      </c>
    </row>
    <row r="125" spans="1:14" x14ac:dyDescent="0.3">
      <c r="A125" s="254"/>
      <c r="B125" s="261"/>
      <c r="C125" s="2" t="s">
        <v>34</v>
      </c>
      <c r="D125" s="3">
        <v>150000</v>
      </c>
      <c r="E125" s="3">
        <v>116000</v>
      </c>
      <c r="F125" s="3"/>
      <c r="G125" s="3"/>
      <c r="H125" s="3"/>
      <c r="I125" s="3"/>
      <c r="J125" s="20"/>
      <c r="K125" s="20"/>
      <c r="L125" s="20">
        <f t="shared" si="32"/>
        <v>116000</v>
      </c>
      <c r="M125" s="108">
        <v>0</v>
      </c>
      <c r="N125" s="3">
        <f t="shared" si="33"/>
        <v>116000</v>
      </c>
    </row>
    <row r="126" spans="1:14" x14ac:dyDescent="0.3">
      <c r="A126" s="254"/>
      <c r="B126" s="261"/>
      <c r="C126" s="2" t="s">
        <v>38</v>
      </c>
      <c r="D126" s="3">
        <v>50000</v>
      </c>
      <c r="E126" s="3">
        <v>46600</v>
      </c>
      <c r="F126" s="3"/>
      <c r="G126" s="3"/>
      <c r="H126" s="3"/>
      <c r="I126" s="3"/>
      <c r="J126" s="20"/>
      <c r="K126" s="20"/>
      <c r="L126" s="20">
        <f t="shared" si="32"/>
        <v>46600</v>
      </c>
      <c r="M126" s="108"/>
      <c r="N126" s="3">
        <f t="shared" si="33"/>
        <v>46600</v>
      </c>
    </row>
    <row r="127" spans="1:14" x14ac:dyDescent="0.3">
      <c r="A127" s="254"/>
      <c r="B127" s="261"/>
      <c r="C127" s="2" t="s">
        <v>40</v>
      </c>
      <c r="D127" s="3">
        <v>16800</v>
      </c>
      <c r="E127" s="3">
        <v>20200</v>
      </c>
      <c r="F127" s="3"/>
      <c r="G127" s="3"/>
      <c r="H127" s="3"/>
      <c r="I127" s="3"/>
      <c r="J127" s="20"/>
      <c r="K127" s="20"/>
      <c r="L127" s="20">
        <f t="shared" si="32"/>
        <v>20200</v>
      </c>
      <c r="M127" s="108">
        <v>17000</v>
      </c>
      <c r="N127" s="3">
        <f t="shared" si="33"/>
        <v>3200</v>
      </c>
    </row>
    <row r="128" spans="1:14" x14ac:dyDescent="0.3">
      <c r="A128" s="254"/>
      <c r="B128" s="261"/>
      <c r="C128" s="2" t="s">
        <v>41</v>
      </c>
      <c r="D128" s="3">
        <v>0</v>
      </c>
      <c r="E128" s="3">
        <v>70280</v>
      </c>
      <c r="F128" s="3">
        <v>75000</v>
      </c>
      <c r="G128" s="3"/>
      <c r="H128" s="3"/>
      <c r="I128" s="3"/>
      <c r="J128" s="20"/>
      <c r="K128" s="20"/>
      <c r="L128" s="20">
        <f t="shared" si="32"/>
        <v>145280</v>
      </c>
      <c r="M128" s="108">
        <v>119980</v>
      </c>
      <c r="N128" s="3">
        <f t="shared" si="33"/>
        <v>25300</v>
      </c>
    </row>
    <row r="129" spans="1:14" x14ac:dyDescent="0.3">
      <c r="A129" s="254"/>
      <c r="B129" s="261"/>
      <c r="C129" s="2" t="s">
        <v>42</v>
      </c>
      <c r="D129" s="3">
        <v>240000</v>
      </c>
      <c r="E129" s="3">
        <v>233720</v>
      </c>
      <c r="F129" s="3"/>
      <c r="G129" s="3"/>
      <c r="H129" s="3"/>
      <c r="I129" s="3"/>
      <c r="J129" s="20"/>
      <c r="K129" s="20"/>
      <c r="L129" s="20">
        <f t="shared" si="32"/>
        <v>233720</v>
      </c>
      <c r="M129" s="108">
        <v>163665</v>
      </c>
      <c r="N129" s="3">
        <f t="shared" si="33"/>
        <v>70055</v>
      </c>
    </row>
    <row r="130" spans="1:14" x14ac:dyDescent="0.3">
      <c r="A130" s="254"/>
      <c r="B130" s="261"/>
      <c r="C130" s="2" t="s">
        <v>44</v>
      </c>
      <c r="D130" s="3">
        <v>94500</v>
      </c>
      <c r="E130" s="3">
        <v>94500</v>
      </c>
      <c r="F130" s="3"/>
      <c r="G130" s="3"/>
      <c r="H130" s="3"/>
      <c r="I130" s="3"/>
      <c r="J130" s="20"/>
      <c r="K130" s="20"/>
      <c r="L130" s="20">
        <f t="shared" si="32"/>
        <v>94500</v>
      </c>
      <c r="M130" s="108">
        <v>12487</v>
      </c>
      <c r="N130" s="3">
        <f t="shared" si="33"/>
        <v>82013</v>
      </c>
    </row>
    <row r="131" spans="1:14" x14ac:dyDescent="0.3">
      <c r="A131" s="254"/>
      <c r="B131" s="261"/>
      <c r="C131" s="6" t="s">
        <v>49</v>
      </c>
      <c r="D131" s="7">
        <f>SUM(D123:D130)</f>
        <v>701300</v>
      </c>
      <c r="E131" s="7">
        <v>701300</v>
      </c>
      <c r="F131" s="7">
        <f t="shared" ref="F131:N131" si="34">SUM(F123:F130)</f>
        <v>75000</v>
      </c>
      <c r="G131" s="7">
        <f t="shared" si="34"/>
        <v>0</v>
      </c>
      <c r="H131" s="7">
        <f t="shared" si="34"/>
        <v>0</v>
      </c>
      <c r="I131" s="7">
        <f t="shared" si="34"/>
        <v>0</v>
      </c>
      <c r="J131" s="7">
        <f t="shared" si="34"/>
        <v>0</v>
      </c>
      <c r="K131" s="7">
        <f t="shared" si="34"/>
        <v>0</v>
      </c>
      <c r="L131" s="7">
        <f t="shared" si="34"/>
        <v>776300</v>
      </c>
      <c r="M131" s="110">
        <f t="shared" si="34"/>
        <v>313132</v>
      </c>
      <c r="N131" s="7">
        <f t="shared" si="34"/>
        <v>463168</v>
      </c>
    </row>
    <row r="132" spans="1:14" x14ac:dyDescent="0.3">
      <c r="A132" s="262" t="s">
        <v>64</v>
      </c>
      <c r="B132" s="264" t="s">
        <v>23</v>
      </c>
      <c r="C132" s="15" t="s">
        <v>29</v>
      </c>
      <c r="D132" s="24">
        <v>39600</v>
      </c>
      <c r="E132" s="24">
        <v>39600</v>
      </c>
      <c r="F132" s="11"/>
      <c r="G132" s="187"/>
      <c r="H132" s="187"/>
      <c r="I132" s="11"/>
      <c r="J132" s="192"/>
      <c r="K132" s="192"/>
      <c r="L132" s="20">
        <f t="shared" ref="L132:L135" si="35">E132+F132+G132+H132+I132+J132+K132</f>
        <v>39600</v>
      </c>
      <c r="M132" s="108">
        <v>39600</v>
      </c>
      <c r="N132" s="3">
        <f t="shared" ref="N132:N135" si="36">L132-M132</f>
        <v>0</v>
      </c>
    </row>
    <row r="133" spans="1:14" x14ac:dyDescent="0.3">
      <c r="A133" s="263"/>
      <c r="B133" s="265"/>
      <c r="C133" s="15" t="s">
        <v>31</v>
      </c>
      <c r="D133" s="24">
        <v>7359</v>
      </c>
      <c r="E133" s="24">
        <v>7391</v>
      </c>
      <c r="F133" s="11"/>
      <c r="G133" s="187"/>
      <c r="H133" s="187"/>
      <c r="I133" s="11"/>
      <c r="J133" s="192">
        <v>1</v>
      </c>
      <c r="K133" s="192"/>
      <c r="L133" s="20">
        <f>E133+F133+G133+H133+I133+J133+K133</f>
        <v>7392</v>
      </c>
      <c r="M133" s="108">
        <v>7392</v>
      </c>
      <c r="N133" s="3">
        <f t="shared" si="36"/>
        <v>0</v>
      </c>
    </row>
    <row r="134" spans="1:14" x14ac:dyDescent="0.3">
      <c r="A134" s="262" t="s">
        <v>65</v>
      </c>
      <c r="B134" s="264" t="s">
        <v>23</v>
      </c>
      <c r="C134" s="15" t="s">
        <v>24</v>
      </c>
      <c r="D134" s="24">
        <v>1357158</v>
      </c>
      <c r="E134" s="24">
        <v>1358233</v>
      </c>
      <c r="F134" s="11"/>
      <c r="G134" s="187"/>
      <c r="H134" s="187"/>
      <c r="I134" s="11"/>
      <c r="J134" s="192"/>
      <c r="K134" s="192"/>
      <c r="L134" s="20">
        <f t="shared" si="35"/>
        <v>1358233</v>
      </c>
      <c r="M134" s="108">
        <v>1358233</v>
      </c>
      <c r="N134" s="3">
        <f t="shared" si="36"/>
        <v>0</v>
      </c>
    </row>
    <row r="135" spans="1:14" x14ac:dyDescent="0.3">
      <c r="A135" s="263"/>
      <c r="B135" s="265"/>
      <c r="C135" s="15" t="s">
        <v>31</v>
      </c>
      <c r="D135" s="24">
        <v>253327</v>
      </c>
      <c r="E135" s="24">
        <v>253533</v>
      </c>
      <c r="F135" s="11"/>
      <c r="G135" s="187"/>
      <c r="H135" s="187"/>
      <c r="I135" s="11"/>
      <c r="J135" s="192"/>
      <c r="K135" s="192"/>
      <c r="L135" s="20">
        <f t="shared" si="35"/>
        <v>253533</v>
      </c>
      <c r="M135" s="108">
        <v>253533</v>
      </c>
      <c r="N135" s="3">
        <f t="shared" si="36"/>
        <v>0</v>
      </c>
    </row>
    <row r="136" spans="1:14" x14ac:dyDescent="0.3">
      <c r="A136" s="319" t="s">
        <v>78</v>
      </c>
      <c r="B136" s="320"/>
      <c r="C136" s="321"/>
      <c r="D136" s="80">
        <f>SUM(D121+D122+D131+D132+D133+D134+D135)</f>
        <v>8585356</v>
      </c>
      <c r="E136" s="80">
        <v>8827403</v>
      </c>
      <c r="F136" s="80">
        <f t="shared" ref="F136:N136" si="37">SUM(F121+F122+F131+F132+F133+F134+F135)</f>
        <v>0</v>
      </c>
      <c r="G136" s="80">
        <f t="shared" si="37"/>
        <v>0</v>
      </c>
      <c r="H136" s="80">
        <f t="shared" si="37"/>
        <v>0</v>
      </c>
      <c r="I136" s="80">
        <f>SUM(I121+I122+I131+I132+I133+I134+I135)</f>
        <v>0</v>
      </c>
      <c r="J136" s="80">
        <f t="shared" ref="J136:K136" si="38">SUM(J121+J122+J131+J132+J133+J134+J135)</f>
        <v>1</v>
      </c>
      <c r="K136" s="80">
        <f t="shared" si="38"/>
        <v>0</v>
      </c>
      <c r="L136" s="80">
        <f>SUM(L121+L122+L131+L132+L133+L134+L135)</f>
        <v>8827404</v>
      </c>
      <c r="M136" s="112">
        <f t="shared" si="37"/>
        <v>8163728</v>
      </c>
      <c r="N136" s="80">
        <f t="shared" si="37"/>
        <v>663676</v>
      </c>
    </row>
    <row r="137" spans="1:14" x14ac:dyDescent="0.3">
      <c r="A137" s="254" t="s">
        <v>14</v>
      </c>
      <c r="B137" s="261" t="s">
        <v>23</v>
      </c>
      <c r="C137" s="2" t="s">
        <v>24</v>
      </c>
      <c r="D137" s="3">
        <v>4756797</v>
      </c>
      <c r="E137" s="3">
        <v>4959781</v>
      </c>
      <c r="F137" s="3">
        <f>-27580-40000</f>
        <v>-67580</v>
      </c>
      <c r="G137" s="3"/>
      <c r="H137" s="3"/>
      <c r="I137" s="3"/>
      <c r="J137" s="20"/>
      <c r="K137" s="20"/>
      <c r="L137" s="20">
        <f t="shared" ref="L137:L143" si="39">E137+F137+G137+H137+I137+J137+K137</f>
        <v>4892201</v>
      </c>
      <c r="M137" s="108">
        <v>4581997</v>
      </c>
      <c r="N137" s="3">
        <f t="shared" ref="N137:N143" si="40">L137-M137</f>
        <v>310204</v>
      </c>
    </row>
    <row r="138" spans="1:14" x14ac:dyDescent="0.3">
      <c r="A138" s="254"/>
      <c r="B138" s="261"/>
      <c r="C138" s="2" t="s">
        <v>25</v>
      </c>
      <c r="D138" s="3">
        <v>200000</v>
      </c>
      <c r="E138" s="3">
        <v>200000</v>
      </c>
      <c r="F138" s="3">
        <v>40000</v>
      </c>
      <c r="G138" s="3"/>
      <c r="H138" s="3"/>
      <c r="I138" s="3"/>
      <c r="J138" s="20"/>
      <c r="K138" s="20"/>
      <c r="L138" s="20">
        <f t="shared" si="39"/>
        <v>240000</v>
      </c>
      <c r="M138" s="108">
        <v>240000</v>
      </c>
      <c r="N138" s="3">
        <f t="shared" si="40"/>
        <v>0</v>
      </c>
    </row>
    <row r="139" spans="1:14" x14ac:dyDescent="0.3">
      <c r="A139" s="254"/>
      <c r="B139" s="261"/>
      <c r="C139" s="2" t="s">
        <v>26</v>
      </c>
      <c r="D139" s="3">
        <v>10000</v>
      </c>
      <c r="E139" s="3">
        <v>10000</v>
      </c>
      <c r="F139" s="3"/>
      <c r="G139" s="3"/>
      <c r="H139" s="3"/>
      <c r="I139" s="3"/>
      <c r="J139" s="20"/>
      <c r="K139" s="20"/>
      <c r="L139" s="20">
        <f t="shared" si="39"/>
        <v>10000</v>
      </c>
      <c r="M139" s="108">
        <v>10000</v>
      </c>
      <c r="N139" s="3">
        <f t="shared" si="40"/>
        <v>0</v>
      </c>
    </row>
    <row r="140" spans="1:14" x14ac:dyDescent="0.3">
      <c r="A140" s="254"/>
      <c r="B140" s="261"/>
      <c r="C140" s="2" t="s">
        <v>27</v>
      </c>
      <c r="D140" s="3">
        <v>255000</v>
      </c>
      <c r="E140" s="3">
        <v>255000</v>
      </c>
      <c r="F140" s="3"/>
      <c r="G140" s="3"/>
      <c r="H140" s="3"/>
      <c r="I140" s="3"/>
      <c r="J140" s="20"/>
      <c r="K140" s="20"/>
      <c r="L140" s="20">
        <f t="shared" si="39"/>
        <v>255000</v>
      </c>
      <c r="M140" s="108">
        <v>240528</v>
      </c>
      <c r="N140" s="3">
        <f t="shared" si="40"/>
        <v>14472</v>
      </c>
    </row>
    <row r="141" spans="1:14" x14ac:dyDescent="0.3">
      <c r="A141" s="254"/>
      <c r="B141" s="261"/>
      <c r="C141" s="2" t="s">
        <v>28</v>
      </c>
      <c r="D141" s="3">
        <v>24000</v>
      </c>
      <c r="E141" s="3">
        <v>24000</v>
      </c>
      <c r="F141" s="3"/>
      <c r="G141" s="3"/>
      <c r="H141" s="3"/>
      <c r="I141" s="3"/>
      <c r="J141" s="20"/>
      <c r="K141" s="20"/>
      <c r="L141" s="20">
        <f t="shared" si="39"/>
        <v>24000</v>
      </c>
      <c r="M141" s="108">
        <v>24000</v>
      </c>
      <c r="N141" s="3">
        <f t="shared" si="40"/>
        <v>0</v>
      </c>
    </row>
    <row r="142" spans="1:14" x14ac:dyDescent="0.3">
      <c r="A142" s="254"/>
      <c r="B142" s="261"/>
      <c r="C142" s="2" t="s">
        <v>29</v>
      </c>
      <c r="D142" s="3">
        <v>0</v>
      </c>
      <c r="E142" s="3">
        <v>128307</v>
      </c>
      <c r="F142" s="3">
        <v>27580</v>
      </c>
      <c r="G142" s="3"/>
      <c r="H142" s="3"/>
      <c r="I142" s="3"/>
      <c r="J142" s="20"/>
      <c r="K142" s="20"/>
      <c r="L142" s="20">
        <f t="shared" si="39"/>
        <v>155887</v>
      </c>
      <c r="M142" s="108">
        <v>151887</v>
      </c>
      <c r="N142" s="3">
        <f t="shared" si="40"/>
        <v>4000</v>
      </c>
    </row>
    <row r="143" spans="1:14" x14ac:dyDescent="0.3">
      <c r="A143" s="254"/>
      <c r="B143" s="261"/>
      <c r="C143" s="2" t="s">
        <v>30</v>
      </c>
      <c r="D143" s="3">
        <v>0</v>
      </c>
      <c r="E143" s="3">
        <v>6878</v>
      </c>
      <c r="F143" s="3"/>
      <c r="G143" s="3"/>
      <c r="H143" s="3"/>
      <c r="I143" s="3"/>
      <c r="J143" s="20"/>
      <c r="K143" s="20"/>
      <c r="L143" s="20">
        <f t="shared" si="39"/>
        <v>6878</v>
      </c>
      <c r="M143" s="108">
        <v>6878</v>
      </c>
      <c r="N143" s="3">
        <f t="shared" si="40"/>
        <v>0</v>
      </c>
    </row>
    <row r="144" spans="1:14" x14ac:dyDescent="0.3">
      <c r="A144" s="254"/>
      <c r="B144" s="261"/>
      <c r="C144" s="6" t="s">
        <v>53</v>
      </c>
      <c r="D144" s="7">
        <f>SUM(D137:D143)</f>
        <v>5245797</v>
      </c>
      <c r="E144" s="7">
        <v>5583966</v>
      </c>
      <c r="F144" s="7">
        <f t="shared" ref="F144:N144" si="41">SUM(F137:F143)</f>
        <v>0</v>
      </c>
      <c r="G144" s="7">
        <f t="shared" si="41"/>
        <v>0</v>
      </c>
      <c r="H144" s="7">
        <f t="shared" si="41"/>
        <v>0</v>
      </c>
      <c r="I144" s="7">
        <f t="shared" si="41"/>
        <v>0</v>
      </c>
      <c r="J144" s="7">
        <f t="shared" si="41"/>
        <v>0</v>
      </c>
      <c r="K144" s="7">
        <f t="shared" si="41"/>
        <v>0</v>
      </c>
      <c r="L144" s="7">
        <f t="shared" si="41"/>
        <v>5583966</v>
      </c>
      <c r="M144" s="110">
        <f t="shared" si="41"/>
        <v>5255290</v>
      </c>
      <c r="N144" s="7">
        <f t="shared" si="41"/>
        <v>328676</v>
      </c>
    </row>
    <row r="145" spans="1:14" x14ac:dyDescent="0.3">
      <c r="A145" s="254"/>
      <c r="B145" s="261"/>
      <c r="C145" s="82" t="s">
        <v>31</v>
      </c>
      <c r="D145" s="83">
        <v>1025121</v>
      </c>
      <c r="E145" s="83">
        <v>1090873</v>
      </c>
      <c r="F145" s="83"/>
      <c r="G145" s="83"/>
      <c r="H145" s="83"/>
      <c r="I145" s="83"/>
      <c r="J145" s="191"/>
      <c r="K145" s="191"/>
      <c r="L145" s="84">
        <f t="shared" ref="L145:L153" si="42">E145+F145+G145+H145+I145+J145+K145</f>
        <v>1090873</v>
      </c>
      <c r="M145" s="111">
        <v>1034817</v>
      </c>
      <c r="N145" s="85">
        <f t="shared" ref="N145:N153" si="43">L145-M145</f>
        <v>56056</v>
      </c>
    </row>
    <row r="146" spans="1:14" x14ac:dyDescent="0.3">
      <c r="A146" s="254"/>
      <c r="B146" s="261"/>
      <c r="C146" s="2" t="s">
        <v>32</v>
      </c>
      <c r="D146" s="3">
        <v>80000</v>
      </c>
      <c r="E146" s="3">
        <v>80000</v>
      </c>
      <c r="F146" s="3"/>
      <c r="G146" s="3"/>
      <c r="H146" s="3"/>
      <c r="I146" s="3"/>
      <c r="J146" s="20"/>
      <c r="K146" s="20"/>
      <c r="L146" s="20">
        <f t="shared" si="42"/>
        <v>80000</v>
      </c>
      <c r="M146" s="108">
        <v>0</v>
      </c>
      <c r="N146" s="3">
        <f t="shared" si="43"/>
        <v>80000</v>
      </c>
    </row>
    <row r="147" spans="1:14" x14ac:dyDescent="0.3">
      <c r="A147" s="254"/>
      <c r="B147" s="261"/>
      <c r="C147" s="2" t="s">
        <v>33</v>
      </c>
      <c r="D147" s="3">
        <v>110000</v>
      </c>
      <c r="E147" s="3">
        <v>100000</v>
      </c>
      <c r="F147" s="3"/>
      <c r="G147" s="3"/>
      <c r="H147" s="3"/>
      <c r="I147" s="3"/>
      <c r="J147" s="20"/>
      <c r="K147" s="20"/>
      <c r="L147" s="20">
        <f t="shared" si="42"/>
        <v>100000</v>
      </c>
      <c r="M147" s="108">
        <v>99415</v>
      </c>
      <c r="N147" s="3">
        <f t="shared" si="43"/>
        <v>585</v>
      </c>
    </row>
    <row r="148" spans="1:14" x14ac:dyDescent="0.3">
      <c r="A148" s="254"/>
      <c r="B148" s="261"/>
      <c r="C148" s="2" t="s">
        <v>34</v>
      </c>
      <c r="D148" s="3">
        <v>150000</v>
      </c>
      <c r="E148" s="3">
        <v>86000</v>
      </c>
      <c r="F148" s="3"/>
      <c r="G148" s="3"/>
      <c r="H148" s="3"/>
      <c r="I148" s="3"/>
      <c r="J148" s="20"/>
      <c r="K148" s="20"/>
      <c r="L148" s="20">
        <f t="shared" si="42"/>
        <v>86000</v>
      </c>
      <c r="M148" s="108">
        <v>0</v>
      </c>
      <c r="N148" s="3">
        <f t="shared" si="43"/>
        <v>86000</v>
      </c>
    </row>
    <row r="149" spans="1:14" x14ac:dyDescent="0.3">
      <c r="A149" s="254"/>
      <c r="B149" s="261"/>
      <c r="C149" s="2" t="s">
        <v>38</v>
      </c>
      <c r="D149" s="3">
        <v>144000</v>
      </c>
      <c r="E149" s="3">
        <v>140600</v>
      </c>
      <c r="F149" s="3"/>
      <c r="G149" s="3"/>
      <c r="H149" s="3"/>
      <c r="I149" s="3"/>
      <c r="J149" s="20"/>
      <c r="K149" s="20"/>
      <c r="L149" s="20">
        <f t="shared" si="42"/>
        <v>140600</v>
      </c>
      <c r="M149" s="108">
        <v>14778</v>
      </c>
      <c r="N149" s="3">
        <f t="shared" si="43"/>
        <v>125822</v>
      </c>
    </row>
    <row r="150" spans="1:14" x14ac:dyDescent="0.3">
      <c r="A150" s="254"/>
      <c r="B150" s="261"/>
      <c r="C150" s="2" t="s">
        <v>40</v>
      </c>
      <c r="D150" s="3">
        <v>16800</v>
      </c>
      <c r="E150" s="3">
        <v>20200</v>
      </c>
      <c r="F150" s="3"/>
      <c r="G150" s="3"/>
      <c r="H150" s="3"/>
      <c r="I150" s="3"/>
      <c r="J150" s="20"/>
      <c r="K150" s="20"/>
      <c r="L150" s="20">
        <f t="shared" si="42"/>
        <v>20200</v>
      </c>
      <c r="M150" s="108">
        <v>10200</v>
      </c>
      <c r="N150" s="3">
        <f t="shared" si="43"/>
        <v>10000</v>
      </c>
    </row>
    <row r="151" spans="1:14" x14ac:dyDescent="0.3">
      <c r="A151" s="254"/>
      <c r="B151" s="261"/>
      <c r="C151" s="2" t="s">
        <v>41</v>
      </c>
      <c r="D151" s="3">
        <v>40000</v>
      </c>
      <c r="E151" s="3">
        <v>120280</v>
      </c>
      <c r="F151" s="3"/>
      <c r="G151" s="3"/>
      <c r="H151" s="3"/>
      <c r="I151" s="3"/>
      <c r="J151" s="20"/>
      <c r="K151" s="20"/>
      <c r="L151" s="20">
        <f t="shared" si="42"/>
        <v>120280</v>
      </c>
      <c r="M151" s="108">
        <v>84980</v>
      </c>
      <c r="N151" s="3">
        <f t="shared" si="43"/>
        <v>35300</v>
      </c>
    </row>
    <row r="152" spans="1:14" x14ac:dyDescent="0.3">
      <c r="A152" s="254"/>
      <c r="B152" s="261"/>
      <c r="C152" s="2" t="s">
        <v>42</v>
      </c>
      <c r="D152" s="3">
        <v>150000</v>
      </c>
      <c r="E152" s="3">
        <v>143720</v>
      </c>
      <c r="F152" s="3"/>
      <c r="G152" s="3"/>
      <c r="H152" s="3"/>
      <c r="I152" s="3"/>
      <c r="J152" s="20"/>
      <c r="K152" s="20"/>
      <c r="L152" s="20">
        <f t="shared" si="42"/>
        <v>143720</v>
      </c>
      <c r="M152" s="108">
        <v>116465</v>
      </c>
      <c r="N152" s="3">
        <f t="shared" si="43"/>
        <v>27255</v>
      </c>
    </row>
    <row r="153" spans="1:14" x14ac:dyDescent="0.3">
      <c r="A153" s="254"/>
      <c r="B153" s="261"/>
      <c r="C153" s="2" t="s">
        <v>44</v>
      </c>
      <c r="D153" s="3">
        <v>141480</v>
      </c>
      <c r="E153" s="3">
        <v>141480</v>
      </c>
      <c r="F153" s="3"/>
      <c r="G153" s="3"/>
      <c r="H153" s="3"/>
      <c r="I153" s="3"/>
      <c r="J153" s="20"/>
      <c r="K153" s="20"/>
      <c r="L153" s="20">
        <f t="shared" si="42"/>
        <v>141480</v>
      </c>
      <c r="M153" s="108">
        <v>43320</v>
      </c>
      <c r="N153" s="3">
        <f t="shared" si="43"/>
        <v>98160</v>
      </c>
    </row>
    <row r="154" spans="1:14" x14ac:dyDescent="0.3">
      <c r="A154" s="254"/>
      <c r="B154" s="261"/>
      <c r="C154" s="6" t="s">
        <v>49</v>
      </c>
      <c r="D154" s="7">
        <f>SUM(D146:D153)</f>
        <v>832280</v>
      </c>
      <c r="E154" s="7">
        <v>832280</v>
      </c>
      <c r="F154" s="7">
        <f t="shared" ref="F154:N154" si="44">SUM(F146:F153)</f>
        <v>0</v>
      </c>
      <c r="G154" s="7">
        <f t="shared" si="44"/>
        <v>0</v>
      </c>
      <c r="H154" s="7">
        <f t="shared" si="44"/>
        <v>0</v>
      </c>
      <c r="I154" s="7">
        <f t="shared" si="44"/>
        <v>0</v>
      </c>
      <c r="J154" s="7">
        <f t="shared" si="44"/>
        <v>0</v>
      </c>
      <c r="K154" s="7">
        <f t="shared" si="44"/>
        <v>0</v>
      </c>
      <c r="L154" s="7">
        <f t="shared" si="44"/>
        <v>832280</v>
      </c>
      <c r="M154" s="110">
        <f t="shared" si="44"/>
        <v>369158</v>
      </c>
      <c r="N154" s="7">
        <f t="shared" si="44"/>
        <v>463122</v>
      </c>
    </row>
    <row r="155" spans="1:14" x14ac:dyDescent="0.3">
      <c r="A155" s="262" t="s">
        <v>66</v>
      </c>
      <c r="B155" s="264" t="s">
        <v>23</v>
      </c>
      <c r="C155" s="15" t="s">
        <v>24</v>
      </c>
      <c r="D155" s="24">
        <v>832628</v>
      </c>
      <c r="E155" s="24">
        <v>822069</v>
      </c>
      <c r="F155" s="11"/>
      <c r="G155" s="11"/>
      <c r="H155" s="187"/>
      <c r="I155" s="11"/>
      <c r="J155" s="192"/>
      <c r="K155" s="192"/>
      <c r="L155" s="20">
        <f t="shared" ref="L155:L156" si="45">E155+F155+G155+H155+I155+J155+K155</f>
        <v>822069</v>
      </c>
      <c r="M155" s="108">
        <v>822069</v>
      </c>
      <c r="N155" s="3">
        <f t="shared" ref="N155:N156" si="46">L155-M155</f>
        <v>0</v>
      </c>
    </row>
    <row r="156" spans="1:14" x14ac:dyDescent="0.3">
      <c r="A156" s="263"/>
      <c r="B156" s="265"/>
      <c r="C156" s="15" t="s">
        <v>31</v>
      </c>
      <c r="D156" s="24">
        <v>155410</v>
      </c>
      <c r="E156" s="24">
        <v>153351</v>
      </c>
      <c r="F156" s="11"/>
      <c r="G156" s="11"/>
      <c r="H156" s="187"/>
      <c r="I156" s="11"/>
      <c r="J156" s="192"/>
      <c r="K156" s="192">
        <v>1</v>
      </c>
      <c r="L156" s="20">
        <f t="shared" si="45"/>
        <v>153352</v>
      </c>
      <c r="M156" s="108">
        <v>153352</v>
      </c>
      <c r="N156" s="3">
        <f t="shared" si="46"/>
        <v>0</v>
      </c>
    </row>
    <row r="157" spans="1:14" x14ac:dyDescent="0.3">
      <c r="A157" s="319" t="s">
        <v>79</v>
      </c>
      <c r="B157" s="320"/>
      <c r="C157" s="321"/>
      <c r="D157" s="80">
        <f>SUM(D144+D145+D154+D155+D156)</f>
        <v>8091236</v>
      </c>
      <c r="E157" s="80">
        <v>8482539</v>
      </c>
      <c r="F157" s="80">
        <f t="shared" ref="F157:N157" si="47">SUM(F144+F145+F154+F155+F156)</f>
        <v>0</v>
      </c>
      <c r="G157" s="80">
        <f t="shared" si="47"/>
        <v>0</v>
      </c>
      <c r="H157" s="80">
        <f t="shared" si="47"/>
        <v>0</v>
      </c>
      <c r="I157" s="80">
        <f t="shared" si="47"/>
        <v>0</v>
      </c>
      <c r="J157" s="80">
        <f t="shared" si="47"/>
        <v>0</v>
      </c>
      <c r="K157" s="80">
        <f t="shared" si="47"/>
        <v>1</v>
      </c>
      <c r="L157" s="80">
        <f t="shared" si="47"/>
        <v>8482540</v>
      </c>
      <c r="M157" s="112">
        <f t="shared" si="47"/>
        <v>7634686</v>
      </c>
      <c r="N157" s="80">
        <f t="shared" si="47"/>
        <v>847854</v>
      </c>
    </row>
    <row r="158" spans="1:14" x14ac:dyDescent="0.3">
      <c r="A158" s="254" t="s">
        <v>55</v>
      </c>
      <c r="B158" s="261" t="s">
        <v>23</v>
      </c>
      <c r="C158" s="10" t="s">
        <v>24</v>
      </c>
      <c r="D158" s="24">
        <v>5055869</v>
      </c>
      <c r="E158" s="24">
        <v>5228287</v>
      </c>
      <c r="F158" s="187">
        <v>-17500</v>
      </c>
      <c r="G158" s="11"/>
      <c r="H158" s="11"/>
      <c r="I158" s="11"/>
      <c r="J158" s="192"/>
      <c r="K158" s="192"/>
      <c r="L158" s="20">
        <f t="shared" ref="L158:L163" si="48">E158+F158+G158+H158+I158+J158+K158</f>
        <v>5210787</v>
      </c>
      <c r="M158" s="108">
        <v>4985211</v>
      </c>
      <c r="N158" s="3">
        <f t="shared" ref="N158:N163" si="49">L158-M158</f>
        <v>225576</v>
      </c>
    </row>
    <row r="159" spans="1:14" x14ac:dyDescent="0.3">
      <c r="A159" s="254"/>
      <c r="B159" s="261"/>
      <c r="C159" s="10" t="s">
        <v>25</v>
      </c>
      <c r="D159" s="24">
        <v>425000</v>
      </c>
      <c r="E159" s="24">
        <v>425000</v>
      </c>
      <c r="F159" s="187">
        <v>17500</v>
      </c>
      <c r="G159" s="11"/>
      <c r="H159" s="11"/>
      <c r="I159" s="11"/>
      <c r="J159" s="192"/>
      <c r="K159" s="192"/>
      <c r="L159" s="20">
        <f t="shared" si="48"/>
        <v>442500</v>
      </c>
      <c r="M159" s="108">
        <v>442500</v>
      </c>
      <c r="N159" s="3">
        <f t="shared" si="49"/>
        <v>0</v>
      </c>
    </row>
    <row r="160" spans="1:14" x14ac:dyDescent="0.3">
      <c r="A160" s="254"/>
      <c r="B160" s="261"/>
      <c r="C160" s="10" t="s">
        <v>26</v>
      </c>
      <c r="D160" s="24">
        <v>10000</v>
      </c>
      <c r="E160" s="24">
        <v>10000</v>
      </c>
      <c r="F160" s="187"/>
      <c r="G160" s="11"/>
      <c r="H160" s="11"/>
      <c r="I160" s="11"/>
      <c r="J160" s="192"/>
      <c r="K160" s="192"/>
      <c r="L160" s="20">
        <f t="shared" si="48"/>
        <v>10000</v>
      </c>
      <c r="M160" s="108">
        <v>10000</v>
      </c>
      <c r="N160" s="3">
        <f t="shared" si="49"/>
        <v>0</v>
      </c>
    </row>
    <row r="161" spans="1:14" x14ac:dyDescent="0.3">
      <c r="A161" s="254"/>
      <c r="B161" s="261"/>
      <c r="C161" s="10" t="s">
        <v>28</v>
      </c>
      <c r="D161" s="24">
        <v>24000</v>
      </c>
      <c r="E161" s="24">
        <v>24000</v>
      </c>
      <c r="F161" s="187"/>
      <c r="G161" s="11"/>
      <c r="H161" s="11"/>
      <c r="I161" s="11"/>
      <c r="J161" s="192"/>
      <c r="K161" s="192"/>
      <c r="L161" s="20">
        <f t="shared" si="48"/>
        <v>24000</v>
      </c>
      <c r="M161" s="108">
        <v>24000</v>
      </c>
      <c r="N161" s="3">
        <f t="shared" si="49"/>
        <v>0</v>
      </c>
    </row>
    <row r="162" spans="1:14" x14ac:dyDescent="0.3">
      <c r="A162" s="254"/>
      <c r="B162" s="261"/>
      <c r="C162" s="10" t="s">
        <v>29</v>
      </c>
      <c r="D162" s="24">
        <v>75000</v>
      </c>
      <c r="E162" s="24">
        <v>165301</v>
      </c>
      <c r="F162" s="187">
        <v>-75000</v>
      </c>
      <c r="G162" s="11"/>
      <c r="H162" s="11"/>
      <c r="I162" s="11"/>
      <c r="J162" s="192"/>
      <c r="K162" s="192"/>
      <c r="L162" s="20">
        <f t="shared" si="48"/>
        <v>90301</v>
      </c>
      <c r="M162" s="108">
        <v>77801</v>
      </c>
      <c r="N162" s="3">
        <f t="shared" si="49"/>
        <v>12500</v>
      </c>
    </row>
    <row r="163" spans="1:14" x14ac:dyDescent="0.3">
      <c r="A163" s="254"/>
      <c r="B163" s="261"/>
      <c r="C163" s="10" t="s">
        <v>30</v>
      </c>
      <c r="D163" s="24">
        <v>0</v>
      </c>
      <c r="E163" s="24">
        <v>6878</v>
      </c>
      <c r="F163" s="187"/>
      <c r="G163" s="11"/>
      <c r="H163" s="11"/>
      <c r="I163" s="11"/>
      <c r="J163" s="192"/>
      <c r="K163" s="192"/>
      <c r="L163" s="20">
        <f t="shared" si="48"/>
        <v>6878</v>
      </c>
      <c r="M163" s="108">
        <v>6878</v>
      </c>
      <c r="N163" s="3">
        <f t="shared" si="49"/>
        <v>0</v>
      </c>
    </row>
    <row r="164" spans="1:14" x14ac:dyDescent="0.3">
      <c r="A164" s="254"/>
      <c r="B164" s="261"/>
      <c r="C164" s="6" t="s">
        <v>53</v>
      </c>
      <c r="D164" s="7">
        <f>SUM(D158:D163)</f>
        <v>5589869</v>
      </c>
      <c r="E164" s="7">
        <v>5859466</v>
      </c>
      <c r="F164" s="7">
        <f t="shared" ref="F164:N164" si="50">SUM(F158:F163)</f>
        <v>-75000</v>
      </c>
      <c r="G164" s="7">
        <f t="shared" si="50"/>
        <v>0</v>
      </c>
      <c r="H164" s="7">
        <f t="shared" si="50"/>
        <v>0</v>
      </c>
      <c r="I164" s="7">
        <f t="shared" si="50"/>
        <v>0</v>
      </c>
      <c r="J164" s="7">
        <f t="shared" si="50"/>
        <v>0</v>
      </c>
      <c r="K164" s="7">
        <f t="shared" si="50"/>
        <v>0</v>
      </c>
      <c r="L164" s="7">
        <f t="shared" si="50"/>
        <v>5784466</v>
      </c>
      <c r="M164" s="110">
        <f t="shared" si="50"/>
        <v>5546390</v>
      </c>
      <c r="N164" s="7">
        <f t="shared" si="50"/>
        <v>238076</v>
      </c>
    </row>
    <row r="165" spans="1:14" x14ac:dyDescent="0.3">
      <c r="A165" s="254"/>
      <c r="B165" s="261"/>
      <c r="C165" s="82" t="s">
        <v>31</v>
      </c>
      <c r="D165" s="83">
        <v>1124913</v>
      </c>
      <c r="E165" s="83">
        <v>1177484</v>
      </c>
      <c r="F165" s="83"/>
      <c r="G165" s="83"/>
      <c r="H165" s="83"/>
      <c r="I165" s="83"/>
      <c r="J165" s="191"/>
      <c r="K165" s="191"/>
      <c r="L165" s="84">
        <f t="shared" ref="L165:L174" si="51">E165+F165+G165+H165+I165+J165+K165</f>
        <v>1177484</v>
      </c>
      <c r="M165" s="111">
        <v>1133672</v>
      </c>
      <c r="N165" s="85">
        <f t="shared" ref="N165:N174" si="52">L165-M165</f>
        <v>43812</v>
      </c>
    </row>
    <row r="166" spans="1:14" x14ac:dyDescent="0.3">
      <c r="A166" s="254"/>
      <c r="B166" s="261"/>
      <c r="C166" s="10" t="s">
        <v>32</v>
      </c>
      <c r="D166" s="24">
        <v>100000</v>
      </c>
      <c r="E166" s="24">
        <v>50000</v>
      </c>
      <c r="F166" s="11"/>
      <c r="G166" s="11"/>
      <c r="H166" s="11"/>
      <c r="I166" s="11"/>
      <c r="J166" s="192"/>
      <c r="K166" s="192"/>
      <c r="L166" s="20">
        <f t="shared" si="51"/>
        <v>50000</v>
      </c>
      <c r="M166" s="108">
        <v>0</v>
      </c>
      <c r="N166" s="3">
        <f t="shared" si="52"/>
        <v>50000</v>
      </c>
    </row>
    <row r="167" spans="1:14" x14ac:dyDescent="0.3">
      <c r="A167" s="254"/>
      <c r="B167" s="261"/>
      <c r="C167" s="10" t="s">
        <v>33</v>
      </c>
      <c r="D167" s="24">
        <v>100000</v>
      </c>
      <c r="E167" s="24">
        <v>100000</v>
      </c>
      <c r="F167" s="11"/>
      <c r="G167" s="11"/>
      <c r="H167" s="11"/>
      <c r="I167" s="11"/>
      <c r="J167" s="192"/>
      <c r="K167" s="192"/>
      <c r="L167" s="20">
        <f t="shared" si="51"/>
        <v>100000</v>
      </c>
      <c r="M167" s="108">
        <v>93234</v>
      </c>
      <c r="N167" s="3">
        <f t="shared" si="52"/>
        <v>6766</v>
      </c>
    </row>
    <row r="168" spans="1:14" x14ac:dyDescent="0.3">
      <c r="A168" s="254"/>
      <c r="B168" s="261"/>
      <c r="C168" s="10" t="s">
        <v>34</v>
      </c>
      <c r="D168" s="24">
        <v>100000</v>
      </c>
      <c r="E168" s="24">
        <v>50000</v>
      </c>
      <c r="F168" s="187"/>
      <c r="G168" s="11"/>
      <c r="H168" s="11"/>
      <c r="I168" s="11"/>
      <c r="J168" s="192"/>
      <c r="K168" s="192"/>
      <c r="L168" s="20">
        <f t="shared" si="51"/>
        <v>50000</v>
      </c>
      <c r="M168" s="108">
        <v>0</v>
      </c>
      <c r="N168" s="3">
        <f t="shared" si="52"/>
        <v>50000</v>
      </c>
    </row>
    <row r="169" spans="1:14" x14ac:dyDescent="0.3">
      <c r="A169" s="254"/>
      <c r="B169" s="261"/>
      <c r="C169" s="10" t="s">
        <v>35</v>
      </c>
      <c r="D169" s="24">
        <v>50000</v>
      </c>
      <c r="E169" s="24">
        <v>50000</v>
      </c>
      <c r="F169" s="187"/>
      <c r="G169" s="11"/>
      <c r="H169" s="11"/>
      <c r="I169" s="11"/>
      <c r="J169" s="192"/>
      <c r="K169" s="192"/>
      <c r="L169" s="20">
        <f t="shared" si="51"/>
        <v>50000</v>
      </c>
      <c r="M169" s="108">
        <v>0</v>
      </c>
      <c r="N169" s="3">
        <f t="shared" si="52"/>
        <v>50000</v>
      </c>
    </row>
    <row r="170" spans="1:14" x14ac:dyDescent="0.3">
      <c r="A170" s="254"/>
      <c r="B170" s="261"/>
      <c r="C170" s="10" t="s">
        <v>38</v>
      </c>
      <c r="D170" s="24">
        <v>140000</v>
      </c>
      <c r="E170" s="24">
        <v>136600</v>
      </c>
      <c r="F170" s="187"/>
      <c r="G170" s="11"/>
      <c r="H170" s="11"/>
      <c r="I170" s="11"/>
      <c r="J170" s="192"/>
      <c r="K170" s="192"/>
      <c r="L170" s="20">
        <f t="shared" si="51"/>
        <v>136600</v>
      </c>
      <c r="M170" s="108">
        <v>60347</v>
      </c>
      <c r="N170" s="3">
        <f t="shared" si="52"/>
        <v>76253</v>
      </c>
    </row>
    <row r="171" spans="1:14" x14ac:dyDescent="0.3">
      <c r="A171" s="254"/>
      <c r="B171" s="261"/>
      <c r="C171" s="10" t="s">
        <v>40</v>
      </c>
      <c r="D171" s="24">
        <v>15000</v>
      </c>
      <c r="E171" s="24">
        <v>18400</v>
      </c>
      <c r="F171" s="187"/>
      <c r="G171" s="11"/>
      <c r="H171" s="11"/>
      <c r="I171" s="11"/>
      <c r="J171" s="192"/>
      <c r="K171" s="192"/>
      <c r="L171" s="20">
        <f t="shared" si="51"/>
        <v>18400</v>
      </c>
      <c r="M171" s="108">
        <v>12250</v>
      </c>
      <c r="N171" s="3">
        <f t="shared" si="52"/>
        <v>6150</v>
      </c>
    </row>
    <row r="172" spans="1:14" x14ac:dyDescent="0.3">
      <c r="A172" s="254"/>
      <c r="B172" s="261"/>
      <c r="C172" s="10" t="s">
        <v>41</v>
      </c>
      <c r="D172" s="24">
        <v>80000</v>
      </c>
      <c r="E172" s="24">
        <v>144188</v>
      </c>
      <c r="F172" s="187">
        <f>-10175+75000</f>
        <v>64825</v>
      </c>
      <c r="G172" s="11"/>
      <c r="H172" s="11"/>
      <c r="I172" s="11"/>
      <c r="J172" s="192"/>
      <c r="K172" s="192"/>
      <c r="L172" s="20">
        <f t="shared" si="51"/>
        <v>209013</v>
      </c>
      <c r="M172" s="108">
        <v>173888</v>
      </c>
      <c r="N172" s="3">
        <f t="shared" si="52"/>
        <v>35125</v>
      </c>
    </row>
    <row r="173" spans="1:14" x14ac:dyDescent="0.3">
      <c r="A173" s="254"/>
      <c r="B173" s="261"/>
      <c r="C173" s="10" t="s">
        <v>42</v>
      </c>
      <c r="D173" s="24">
        <v>240000</v>
      </c>
      <c r="E173" s="24">
        <v>290000</v>
      </c>
      <c r="F173" s="187">
        <v>10175</v>
      </c>
      <c r="G173" s="11"/>
      <c r="H173" s="11"/>
      <c r="I173" s="11"/>
      <c r="J173" s="192"/>
      <c r="K173" s="192"/>
      <c r="L173" s="20">
        <f t="shared" si="51"/>
        <v>300175</v>
      </c>
      <c r="M173" s="108">
        <v>300175</v>
      </c>
      <c r="N173" s="3">
        <f t="shared" si="52"/>
        <v>0</v>
      </c>
    </row>
    <row r="174" spans="1:14" x14ac:dyDescent="0.3">
      <c r="A174" s="254"/>
      <c r="B174" s="261"/>
      <c r="C174" s="10" t="s">
        <v>44</v>
      </c>
      <c r="D174" s="24">
        <v>142900</v>
      </c>
      <c r="E174" s="24">
        <v>128712</v>
      </c>
      <c r="F174" s="187"/>
      <c r="G174" s="11"/>
      <c r="H174" s="11"/>
      <c r="I174" s="11"/>
      <c r="J174" s="192"/>
      <c r="K174" s="192"/>
      <c r="L174" s="20">
        <f t="shared" si="51"/>
        <v>128712</v>
      </c>
      <c r="M174" s="108">
        <v>50259</v>
      </c>
      <c r="N174" s="3">
        <f t="shared" si="52"/>
        <v>78453</v>
      </c>
    </row>
    <row r="175" spans="1:14" x14ac:dyDescent="0.3">
      <c r="A175" s="254"/>
      <c r="B175" s="261"/>
      <c r="C175" s="6" t="s">
        <v>49</v>
      </c>
      <c r="D175" s="7">
        <f>SUM(D166:D174)</f>
        <v>967900</v>
      </c>
      <c r="E175" s="7">
        <v>967900</v>
      </c>
      <c r="F175" s="7">
        <f t="shared" ref="F175:N175" si="53">SUM(F166:F174)</f>
        <v>75000</v>
      </c>
      <c r="G175" s="7">
        <f t="shared" si="53"/>
        <v>0</v>
      </c>
      <c r="H175" s="7">
        <f t="shared" si="53"/>
        <v>0</v>
      </c>
      <c r="I175" s="7">
        <f t="shared" si="53"/>
        <v>0</v>
      </c>
      <c r="J175" s="7">
        <f t="shared" si="53"/>
        <v>0</v>
      </c>
      <c r="K175" s="7">
        <f t="shared" si="53"/>
        <v>0</v>
      </c>
      <c r="L175" s="7">
        <f t="shared" si="53"/>
        <v>1042900</v>
      </c>
      <c r="M175" s="110">
        <f t="shared" si="53"/>
        <v>690153</v>
      </c>
      <c r="N175" s="7">
        <f t="shared" si="53"/>
        <v>352747</v>
      </c>
    </row>
    <row r="176" spans="1:14" x14ac:dyDescent="0.3">
      <c r="A176" s="262" t="s">
        <v>67</v>
      </c>
      <c r="B176" s="264" t="s">
        <v>23</v>
      </c>
      <c r="C176" s="25" t="s">
        <v>29</v>
      </c>
      <c r="D176" s="24">
        <v>157200</v>
      </c>
      <c r="E176" s="24">
        <v>71400</v>
      </c>
      <c r="F176" s="11"/>
      <c r="G176" s="187"/>
      <c r="H176" s="187"/>
      <c r="I176" s="11"/>
      <c r="J176" s="192"/>
      <c r="K176" s="192"/>
      <c r="L176" s="20">
        <f t="shared" ref="L176:L218" si="54">E176+F176+G176+H176+I176+J176+K176</f>
        <v>71400</v>
      </c>
      <c r="M176" s="108">
        <v>71400</v>
      </c>
      <c r="N176" s="3">
        <f t="shared" ref="N176:N192" si="55">L176-M176</f>
        <v>0</v>
      </c>
    </row>
    <row r="177" spans="1:14" x14ac:dyDescent="0.3">
      <c r="A177" s="263"/>
      <c r="B177" s="265"/>
      <c r="C177" s="25" t="s">
        <v>31</v>
      </c>
      <c r="D177" s="24">
        <v>29213</v>
      </c>
      <c r="E177" s="24">
        <v>13395</v>
      </c>
      <c r="F177" s="11"/>
      <c r="G177" s="187"/>
      <c r="H177" s="187"/>
      <c r="I177" s="11"/>
      <c r="J177" s="192"/>
      <c r="K177" s="192"/>
      <c r="L177" s="20">
        <f t="shared" si="54"/>
        <v>13395</v>
      </c>
      <c r="M177" s="108">
        <v>13395</v>
      </c>
      <c r="N177" s="3">
        <f t="shared" si="55"/>
        <v>0</v>
      </c>
    </row>
    <row r="178" spans="1:14" x14ac:dyDescent="0.3">
      <c r="A178" s="262" t="s">
        <v>75</v>
      </c>
      <c r="B178" s="264" t="s">
        <v>23</v>
      </c>
      <c r="C178" s="15" t="s">
        <v>24</v>
      </c>
      <c r="D178" s="24">
        <v>1604509</v>
      </c>
      <c r="E178" s="24">
        <v>1645068</v>
      </c>
      <c r="F178" s="11"/>
      <c r="G178" s="187"/>
      <c r="H178" s="187"/>
      <c r="I178" s="11"/>
      <c r="J178" s="192"/>
      <c r="K178" s="192">
        <v>2</v>
      </c>
      <c r="L178" s="20">
        <f t="shared" si="54"/>
        <v>1645070</v>
      </c>
      <c r="M178" s="108">
        <v>1645070</v>
      </c>
      <c r="N178" s="3">
        <f t="shared" si="55"/>
        <v>0</v>
      </c>
    </row>
    <row r="179" spans="1:14" x14ac:dyDescent="0.3">
      <c r="A179" s="263"/>
      <c r="B179" s="265"/>
      <c r="C179" s="15" t="s">
        <v>31</v>
      </c>
      <c r="D179" s="24">
        <v>299119</v>
      </c>
      <c r="E179" s="24">
        <v>307030</v>
      </c>
      <c r="F179" s="11"/>
      <c r="G179" s="187"/>
      <c r="H179" s="187"/>
      <c r="I179" s="11"/>
      <c r="J179" s="192"/>
      <c r="K179" s="192"/>
      <c r="L179" s="20">
        <f t="shared" si="54"/>
        <v>307030</v>
      </c>
      <c r="M179" s="108">
        <v>307030</v>
      </c>
      <c r="N179" s="3">
        <f t="shared" si="55"/>
        <v>0</v>
      </c>
    </row>
    <row r="180" spans="1:14" x14ac:dyDescent="0.3">
      <c r="A180" s="322" t="s">
        <v>80</v>
      </c>
      <c r="B180" s="322"/>
      <c r="C180" s="322"/>
      <c r="D180" s="81">
        <f>SUM(D164+D165+D175+D176+D177+D178+D179)</f>
        <v>9772723</v>
      </c>
      <c r="E180" s="81">
        <v>10041743</v>
      </c>
      <c r="F180" s="81">
        <f t="shared" ref="F180:N180" si="56">SUM(F164+F165+F175+F176+F177+F178+F179)</f>
        <v>0</v>
      </c>
      <c r="G180" s="81">
        <f t="shared" si="56"/>
        <v>0</v>
      </c>
      <c r="H180" s="81">
        <f t="shared" si="56"/>
        <v>0</v>
      </c>
      <c r="I180" s="81">
        <f t="shared" si="56"/>
        <v>0</v>
      </c>
      <c r="J180" s="81">
        <f t="shared" si="56"/>
        <v>0</v>
      </c>
      <c r="K180" s="81">
        <f t="shared" si="56"/>
        <v>2</v>
      </c>
      <c r="L180" s="81">
        <f t="shared" si="56"/>
        <v>10041745</v>
      </c>
      <c r="M180" s="112">
        <f t="shared" si="56"/>
        <v>9407110</v>
      </c>
      <c r="N180" s="81">
        <f t="shared" si="56"/>
        <v>634635</v>
      </c>
    </row>
    <row r="181" spans="1:14" x14ac:dyDescent="0.3">
      <c r="A181" s="254" t="s">
        <v>15</v>
      </c>
      <c r="B181" s="264" t="s">
        <v>23</v>
      </c>
      <c r="C181" s="43" t="s">
        <v>24</v>
      </c>
      <c r="D181" s="44">
        <v>11144060</v>
      </c>
      <c r="E181" s="44">
        <v>11144060</v>
      </c>
      <c r="F181" s="44"/>
      <c r="G181" s="44">
        <v>-2956311</v>
      </c>
      <c r="H181" s="44"/>
      <c r="I181" s="44"/>
      <c r="J181" s="193"/>
      <c r="K181" s="193"/>
      <c r="L181" s="20">
        <f t="shared" si="54"/>
        <v>8187749</v>
      </c>
      <c r="M181" s="56">
        <v>8187749</v>
      </c>
      <c r="N181" s="3">
        <f t="shared" si="55"/>
        <v>0</v>
      </c>
    </row>
    <row r="182" spans="1:14" x14ac:dyDescent="0.3">
      <c r="A182" s="254"/>
      <c r="B182" s="268"/>
      <c r="C182" s="43" t="s">
        <v>30</v>
      </c>
      <c r="D182" s="44">
        <v>0</v>
      </c>
      <c r="E182" s="44">
        <v>0</v>
      </c>
      <c r="F182" s="44"/>
      <c r="G182" s="44"/>
      <c r="H182" s="44"/>
      <c r="I182" s="44"/>
      <c r="J182" s="193"/>
      <c r="K182" s="193"/>
      <c r="L182" s="20">
        <f t="shared" si="54"/>
        <v>0</v>
      </c>
      <c r="M182" s="56">
        <v>0</v>
      </c>
      <c r="N182" s="3">
        <f t="shared" si="55"/>
        <v>0</v>
      </c>
    </row>
    <row r="183" spans="1:14" x14ac:dyDescent="0.3">
      <c r="A183" s="254"/>
      <c r="B183" s="268"/>
      <c r="C183" s="6" t="s">
        <v>53</v>
      </c>
      <c r="D183" s="7">
        <f>D181+D182</f>
        <v>11144060</v>
      </c>
      <c r="E183" s="7">
        <v>11144060</v>
      </c>
      <c r="F183" s="7">
        <f t="shared" ref="F183:N183" si="57">F181+F182</f>
        <v>0</v>
      </c>
      <c r="G183" s="7">
        <f t="shared" si="57"/>
        <v>-2956311</v>
      </c>
      <c r="H183" s="7">
        <f t="shared" si="57"/>
        <v>0</v>
      </c>
      <c r="I183" s="7">
        <f t="shared" si="57"/>
        <v>0</v>
      </c>
      <c r="J183" s="7">
        <f t="shared" si="57"/>
        <v>0</v>
      </c>
      <c r="K183" s="7">
        <f t="shared" si="57"/>
        <v>0</v>
      </c>
      <c r="L183" s="8">
        <f t="shared" ref="L183" si="58">E183+F183+G183+H183+I183</f>
        <v>8187749</v>
      </c>
      <c r="M183" s="113">
        <f t="shared" si="57"/>
        <v>8187749</v>
      </c>
      <c r="N183" s="7">
        <f t="shared" si="57"/>
        <v>0</v>
      </c>
    </row>
    <row r="184" spans="1:14" x14ac:dyDescent="0.3">
      <c r="A184" s="254"/>
      <c r="B184" s="268"/>
      <c r="C184" s="82" t="s">
        <v>31</v>
      </c>
      <c r="D184" s="83">
        <v>2295657</v>
      </c>
      <c r="E184" s="83">
        <v>6570207</v>
      </c>
      <c r="F184" s="83"/>
      <c r="G184" s="83">
        <v>-2224675</v>
      </c>
      <c r="H184" s="83"/>
      <c r="I184" s="83"/>
      <c r="J184" s="83"/>
      <c r="K184" s="83"/>
      <c r="L184" s="85">
        <f t="shared" si="54"/>
        <v>4345532</v>
      </c>
      <c r="M184" s="111">
        <v>4345532</v>
      </c>
      <c r="N184" s="85">
        <f t="shared" si="55"/>
        <v>0</v>
      </c>
    </row>
    <row r="185" spans="1:14" x14ac:dyDescent="0.3">
      <c r="A185" s="254"/>
      <c r="B185" s="268"/>
      <c r="C185" s="10" t="s">
        <v>33</v>
      </c>
      <c r="D185" s="3">
        <v>90000</v>
      </c>
      <c r="E185" s="3">
        <v>232959</v>
      </c>
      <c r="F185" s="3"/>
      <c r="G185" s="3"/>
      <c r="H185" s="3"/>
      <c r="I185" s="3"/>
      <c r="J185" s="3"/>
      <c r="K185" s="3"/>
      <c r="L185" s="3">
        <f t="shared" si="54"/>
        <v>232959</v>
      </c>
      <c r="M185" s="108">
        <v>232959</v>
      </c>
      <c r="N185" s="3">
        <f t="shared" si="55"/>
        <v>0</v>
      </c>
    </row>
    <row r="186" spans="1:14" x14ac:dyDescent="0.3">
      <c r="A186" s="254"/>
      <c r="B186" s="268"/>
      <c r="C186" s="10" t="s">
        <v>37</v>
      </c>
      <c r="D186" s="3">
        <v>230000</v>
      </c>
      <c r="E186" s="3">
        <v>230000</v>
      </c>
      <c r="F186" s="3"/>
      <c r="G186" s="3">
        <v>-37260</v>
      </c>
      <c r="H186" s="3"/>
      <c r="I186" s="3"/>
      <c r="J186" s="3"/>
      <c r="K186" s="3"/>
      <c r="L186" s="3">
        <f t="shared" si="54"/>
        <v>192740</v>
      </c>
      <c r="M186" s="108">
        <v>138000</v>
      </c>
      <c r="N186" s="3">
        <f t="shared" si="55"/>
        <v>54740</v>
      </c>
    </row>
    <row r="187" spans="1:14" x14ac:dyDescent="0.3">
      <c r="A187" s="254"/>
      <c r="B187" s="268"/>
      <c r="C187" s="10" t="s">
        <v>40</v>
      </c>
      <c r="D187" s="3">
        <v>14850000</v>
      </c>
      <c r="E187" s="3">
        <v>14850000</v>
      </c>
      <c r="F187" s="3"/>
      <c r="G187" s="3">
        <v>-11297383</v>
      </c>
      <c r="H187" s="3"/>
      <c r="I187" s="3"/>
      <c r="J187" s="3"/>
      <c r="K187" s="3"/>
      <c r="L187" s="3">
        <f t="shared" si="54"/>
        <v>3552617</v>
      </c>
      <c r="M187" s="108">
        <v>2040000</v>
      </c>
      <c r="N187" s="3">
        <f t="shared" si="55"/>
        <v>1512617</v>
      </c>
    </row>
    <row r="188" spans="1:14" x14ac:dyDescent="0.3">
      <c r="A188" s="254"/>
      <c r="B188" s="268"/>
      <c r="C188" s="10" t="s">
        <v>41</v>
      </c>
      <c r="D188" s="3">
        <v>25112271</v>
      </c>
      <c r="E188" s="3">
        <v>12427045</v>
      </c>
      <c r="F188" s="3"/>
      <c r="G188" s="3">
        <v>-6269063</v>
      </c>
      <c r="H188" s="3"/>
      <c r="I188" s="3"/>
      <c r="J188" s="3"/>
      <c r="K188" s="3"/>
      <c r="L188" s="3">
        <f t="shared" si="54"/>
        <v>6157982</v>
      </c>
      <c r="M188" s="108">
        <v>6157972</v>
      </c>
      <c r="N188" s="3">
        <f t="shared" si="55"/>
        <v>10</v>
      </c>
    </row>
    <row r="189" spans="1:14" x14ac:dyDescent="0.3">
      <c r="A189" s="254"/>
      <c r="B189" s="268"/>
      <c r="C189" s="10" t="s">
        <v>42</v>
      </c>
      <c r="D189" s="3">
        <v>230000</v>
      </c>
      <c r="E189" s="3">
        <v>230000</v>
      </c>
      <c r="F189" s="3"/>
      <c r="G189" s="3">
        <v>-180800</v>
      </c>
      <c r="H189" s="3"/>
      <c r="I189" s="3"/>
      <c r="J189" s="3"/>
      <c r="K189" s="3"/>
      <c r="L189" s="3">
        <f t="shared" si="54"/>
        <v>49200</v>
      </c>
      <c r="M189" s="108">
        <v>49200</v>
      </c>
      <c r="N189" s="3">
        <f t="shared" si="55"/>
        <v>0</v>
      </c>
    </row>
    <row r="190" spans="1:14" x14ac:dyDescent="0.3">
      <c r="A190" s="254"/>
      <c r="B190" s="268"/>
      <c r="C190" s="10" t="s">
        <v>43</v>
      </c>
      <c r="D190" s="3">
        <v>230000</v>
      </c>
      <c r="E190" s="3">
        <v>230000</v>
      </c>
      <c r="F190" s="3"/>
      <c r="G190" s="3">
        <v>-230000</v>
      </c>
      <c r="H190" s="3"/>
      <c r="I190" s="3"/>
      <c r="J190" s="3"/>
      <c r="K190" s="3"/>
      <c r="L190" s="3">
        <f t="shared" si="54"/>
        <v>0</v>
      </c>
      <c r="M190" s="108">
        <v>0</v>
      </c>
      <c r="N190" s="3">
        <f t="shared" si="55"/>
        <v>0</v>
      </c>
    </row>
    <row r="191" spans="1:14" x14ac:dyDescent="0.3">
      <c r="A191" s="254"/>
      <c r="B191" s="268"/>
      <c r="C191" s="10" t="s">
        <v>44</v>
      </c>
      <c r="D191" s="3">
        <v>5677830</v>
      </c>
      <c r="E191" s="3">
        <v>3445547</v>
      </c>
      <c r="F191" s="3"/>
      <c r="G191" s="3">
        <v>-1873250</v>
      </c>
      <c r="H191" s="3"/>
      <c r="I191" s="3"/>
      <c r="J191" s="3"/>
      <c r="K191" s="3"/>
      <c r="L191" s="3">
        <f t="shared" si="54"/>
        <v>1572297</v>
      </c>
      <c r="M191" s="108">
        <v>1572297</v>
      </c>
      <c r="N191" s="3">
        <f t="shared" si="55"/>
        <v>0</v>
      </c>
    </row>
    <row r="192" spans="1:14" x14ac:dyDescent="0.3">
      <c r="A192" s="254"/>
      <c r="B192" s="268"/>
      <c r="C192" s="10" t="s">
        <v>45</v>
      </c>
      <c r="D192" s="3">
        <v>229990</v>
      </c>
      <c r="E192" s="3">
        <v>229990</v>
      </c>
      <c r="F192" s="3"/>
      <c r="G192" s="3">
        <v>-229990</v>
      </c>
      <c r="H192" s="3"/>
      <c r="I192" s="3"/>
      <c r="J192" s="3"/>
      <c r="K192" s="3"/>
      <c r="L192" s="3">
        <f t="shared" si="54"/>
        <v>0</v>
      </c>
      <c r="M192" s="108">
        <v>0</v>
      </c>
      <c r="N192" s="3">
        <f t="shared" si="55"/>
        <v>0</v>
      </c>
    </row>
    <row r="193" spans="1:14" x14ac:dyDescent="0.3">
      <c r="A193" s="254"/>
      <c r="B193" s="268"/>
      <c r="C193" s="6" t="s">
        <v>49</v>
      </c>
      <c r="D193" s="7">
        <f>SUM(D185:D192)</f>
        <v>46650091</v>
      </c>
      <c r="E193" s="7">
        <v>31875541</v>
      </c>
      <c r="F193" s="7">
        <f t="shared" ref="F193:N193" si="59">SUM(F185:F192)</f>
        <v>0</v>
      </c>
      <c r="G193" s="7">
        <f t="shared" si="59"/>
        <v>-20117746</v>
      </c>
      <c r="H193" s="7">
        <f t="shared" si="59"/>
        <v>0</v>
      </c>
      <c r="I193" s="7">
        <f t="shared" si="59"/>
        <v>0</v>
      </c>
      <c r="J193" s="7">
        <f t="shared" si="59"/>
        <v>0</v>
      </c>
      <c r="K193" s="7">
        <f t="shared" si="59"/>
        <v>0</v>
      </c>
      <c r="L193" s="7">
        <f t="shared" si="59"/>
        <v>11757795</v>
      </c>
      <c r="M193" s="110">
        <f t="shared" si="59"/>
        <v>10190428</v>
      </c>
      <c r="N193" s="7">
        <f t="shared" si="59"/>
        <v>1567367</v>
      </c>
    </row>
    <row r="194" spans="1:14" x14ac:dyDescent="0.3">
      <c r="A194" s="254"/>
      <c r="B194" s="268"/>
      <c r="C194" s="10" t="s">
        <v>56</v>
      </c>
      <c r="D194" s="3">
        <v>0</v>
      </c>
      <c r="E194" s="3">
        <v>0</v>
      </c>
      <c r="F194" s="3"/>
      <c r="G194" s="3"/>
      <c r="H194" s="3"/>
      <c r="I194" s="3"/>
      <c r="J194" s="3"/>
      <c r="K194" s="3"/>
      <c r="L194" s="3">
        <f t="shared" si="54"/>
        <v>0</v>
      </c>
      <c r="M194" s="108">
        <v>0</v>
      </c>
      <c r="N194" s="3">
        <f t="shared" ref="N194:N196" si="60">L194-M194</f>
        <v>0</v>
      </c>
    </row>
    <row r="195" spans="1:14" x14ac:dyDescent="0.3">
      <c r="A195" s="254"/>
      <c r="B195" s="268"/>
      <c r="C195" s="10" t="s">
        <v>50</v>
      </c>
      <c r="D195" s="3">
        <v>3740</v>
      </c>
      <c r="E195" s="3">
        <v>3740</v>
      </c>
      <c r="F195" s="3"/>
      <c r="G195" s="3"/>
      <c r="H195" s="3"/>
      <c r="I195" s="3"/>
      <c r="J195" s="3"/>
      <c r="K195" s="3"/>
      <c r="L195" s="3">
        <f t="shared" si="54"/>
        <v>3740</v>
      </c>
      <c r="M195" s="108">
        <v>0</v>
      </c>
      <c r="N195" s="3">
        <f t="shared" si="60"/>
        <v>3740</v>
      </c>
    </row>
    <row r="196" spans="1:14" x14ac:dyDescent="0.3">
      <c r="A196" s="254"/>
      <c r="B196" s="268"/>
      <c r="C196" s="10" t="s">
        <v>51</v>
      </c>
      <c r="D196" s="3">
        <v>1010</v>
      </c>
      <c r="E196" s="3">
        <v>1010</v>
      </c>
      <c r="F196" s="3"/>
      <c r="G196" s="3"/>
      <c r="H196" s="3"/>
      <c r="I196" s="3"/>
      <c r="J196" s="3"/>
      <c r="K196" s="3"/>
      <c r="L196" s="3">
        <f t="shared" si="54"/>
        <v>1010</v>
      </c>
      <c r="M196" s="108">
        <v>0</v>
      </c>
      <c r="N196" s="3">
        <f t="shared" si="60"/>
        <v>1010</v>
      </c>
    </row>
    <row r="197" spans="1:14" x14ac:dyDescent="0.3">
      <c r="A197" s="254"/>
      <c r="B197" s="268"/>
      <c r="C197" s="6" t="s">
        <v>52</v>
      </c>
      <c r="D197" s="7">
        <f>SUM(D194:D196)</f>
        <v>4750</v>
      </c>
      <c r="E197" s="7">
        <v>4750</v>
      </c>
      <c r="F197" s="7">
        <f t="shared" ref="F197:N197" si="61">SUM(F194:F196)</f>
        <v>0</v>
      </c>
      <c r="G197" s="7">
        <f t="shared" si="61"/>
        <v>0</v>
      </c>
      <c r="H197" s="7">
        <f t="shared" si="61"/>
        <v>0</v>
      </c>
      <c r="I197" s="7">
        <f t="shared" si="61"/>
        <v>0</v>
      </c>
      <c r="J197" s="7">
        <f t="shared" si="61"/>
        <v>0</v>
      </c>
      <c r="K197" s="7">
        <f t="shared" si="61"/>
        <v>0</v>
      </c>
      <c r="L197" s="7">
        <f t="shared" si="61"/>
        <v>4750</v>
      </c>
      <c r="M197" s="110">
        <f t="shared" si="61"/>
        <v>0</v>
      </c>
      <c r="N197" s="7">
        <f t="shared" si="61"/>
        <v>4750</v>
      </c>
    </row>
    <row r="198" spans="1:14" x14ac:dyDescent="0.3">
      <c r="A198" s="254"/>
      <c r="B198" s="265"/>
      <c r="C198" s="10" t="s">
        <v>57</v>
      </c>
      <c r="D198" s="3">
        <v>0</v>
      </c>
      <c r="E198" s="3">
        <v>10500000</v>
      </c>
      <c r="F198" s="3"/>
      <c r="G198" s="3"/>
      <c r="H198" s="3"/>
      <c r="I198" s="3"/>
      <c r="J198" s="3"/>
      <c r="K198" s="3"/>
      <c r="L198" s="3">
        <f t="shared" si="54"/>
        <v>10500000</v>
      </c>
      <c r="M198" s="108">
        <v>10500000</v>
      </c>
      <c r="N198" s="3">
        <f t="shared" ref="N198" si="62">L198-M198</f>
        <v>0</v>
      </c>
    </row>
    <row r="199" spans="1:14" x14ac:dyDescent="0.3">
      <c r="A199" s="319" t="s">
        <v>81</v>
      </c>
      <c r="B199" s="320"/>
      <c r="C199" s="321"/>
      <c r="D199" s="80">
        <f>SUM(D183+D184+D193+D197+D198)</f>
        <v>60094558</v>
      </c>
      <c r="E199" s="80">
        <v>60094558</v>
      </c>
      <c r="F199" s="80">
        <f t="shared" ref="F199:N199" si="63">SUM(F183+F184+F193+F197+F198)</f>
        <v>0</v>
      </c>
      <c r="G199" s="80">
        <f t="shared" si="63"/>
        <v>-25298732</v>
      </c>
      <c r="H199" s="80">
        <f t="shared" si="63"/>
        <v>0</v>
      </c>
      <c r="I199" s="80">
        <f t="shared" si="63"/>
        <v>0</v>
      </c>
      <c r="J199" s="80">
        <f t="shared" si="63"/>
        <v>0</v>
      </c>
      <c r="K199" s="80">
        <f t="shared" si="63"/>
        <v>0</v>
      </c>
      <c r="L199" s="80">
        <f t="shared" si="63"/>
        <v>34795826</v>
      </c>
      <c r="M199" s="112">
        <f t="shared" si="63"/>
        <v>33223709</v>
      </c>
      <c r="N199" s="80">
        <f t="shared" si="63"/>
        <v>1572117</v>
      </c>
    </row>
    <row r="200" spans="1:14" x14ac:dyDescent="0.3">
      <c r="A200" s="285" t="s">
        <v>85</v>
      </c>
      <c r="B200" s="264" t="s">
        <v>46</v>
      </c>
      <c r="C200" s="12" t="s">
        <v>24</v>
      </c>
      <c r="D200" s="3">
        <v>9880165</v>
      </c>
      <c r="E200" s="3">
        <v>9562762</v>
      </c>
      <c r="F200" s="3"/>
      <c r="G200" s="3"/>
      <c r="H200" s="3"/>
      <c r="I200" s="3"/>
      <c r="J200" s="20"/>
      <c r="K200" s="20"/>
      <c r="L200" s="20">
        <f t="shared" si="54"/>
        <v>9562762</v>
      </c>
      <c r="M200" s="108">
        <v>9317078</v>
      </c>
      <c r="N200" s="3">
        <f t="shared" ref="N200:N205" si="64">L200-M200</f>
        <v>245684</v>
      </c>
    </row>
    <row r="201" spans="1:14" x14ac:dyDescent="0.3">
      <c r="A201" s="285"/>
      <c r="B201" s="268"/>
      <c r="C201" s="12" t="s">
        <v>25</v>
      </c>
      <c r="D201" s="3">
        <v>400000</v>
      </c>
      <c r="E201" s="3">
        <v>400000</v>
      </c>
      <c r="F201" s="3">
        <f>80000+80000-80000</f>
        <v>80000</v>
      </c>
      <c r="G201" s="3"/>
      <c r="H201" s="3"/>
      <c r="I201" s="3"/>
      <c r="J201" s="20"/>
      <c r="K201" s="20"/>
      <c r="L201" s="20">
        <f t="shared" si="54"/>
        <v>480000</v>
      </c>
      <c r="M201" s="108">
        <v>480000</v>
      </c>
      <c r="N201" s="3">
        <f t="shared" si="64"/>
        <v>0</v>
      </c>
    </row>
    <row r="202" spans="1:14" x14ac:dyDescent="0.3">
      <c r="A202" s="285"/>
      <c r="B202" s="268"/>
      <c r="C202" s="12" t="s">
        <v>26</v>
      </c>
      <c r="D202" s="3">
        <v>20000</v>
      </c>
      <c r="E202" s="3">
        <v>20000</v>
      </c>
      <c r="F202" s="3"/>
      <c r="G202" s="3"/>
      <c r="H202" s="3"/>
      <c r="I202" s="3"/>
      <c r="J202" s="20"/>
      <c r="K202" s="20"/>
      <c r="L202" s="20">
        <f t="shared" si="54"/>
        <v>20000</v>
      </c>
      <c r="M202" s="108">
        <v>20000</v>
      </c>
      <c r="N202" s="3">
        <f t="shared" si="64"/>
        <v>0</v>
      </c>
    </row>
    <row r="203" spans="1:14" x14ac:dyDescent="0.3">
      <c r="A203" s="285"/>
      <c r="B203" s="268"/>
      <c r="C203" s="2" t="s">
        <v>27</v>
      </c>
      <c r="D203" s="3">
        <v>75000</v>
      </c>
      <c r="E203" s="3">
        <v>90912</v>
      </c>
      <c r="F203" s="3">
        <v>14688</v>
      </c>
      <c r="G203" s="3"/>
      <c r="H203" s="3"/>
      <c r="I203" s="3"/>
      <c r="J203" s="20"/>
      <c r="K203" s="20"/>
      <c r="L203" s="20">
        <f t="shared" si="54"/>
        <v>105600</v>
      </c>
      <c r="M203" s="108">
        <v>45288</v>
      </c>
      <c r="N203" s="3">
        <f t="shared" si="64"/>
        <v>60312</v>
      </c>
    </row>
    <row r="204" spans="1:14" x14ac:dyDescent="0.3">
      <c r="A204" s="285"/>
      <c r="B204" s="268"/>
      <c r="C204" s="2" t="s">
        <v>28</v>
      </c>
      <c r="D204" s="3">
        <v>48000</v>
      </c>
      <c r="E204" s="3">
        <v>48000</v>
      </c>
      <c r="F204" s="3"/>
      <c r="G204" s="3"/>
      <c r="H204" s="3"/>
      <c r="I204" s="3"/>
      <c r="J204" s="20"/>
      <c r="K204" s="20"/>
      <c r="L204" s="20">
        <f t="shared" si="54"/>
        <v>48000</v>
      </c>
      <c r="M204" s="108">
        <v>48000</v>
      </c>
      <c r="N204" s="3">
        <f t="shared" si="64"/>
        <v>0</v>
      </c>
    </row>
    <row r="205" spans="1:14" x14ac:dyDescent="0.3">
      <c r="A205" s="285"/>
      <c r="B205" s="268"/>
      <c r="C205" s="2" t="s">
        <v>29</v>
      </c>
      <c r="D205" s="3">
        <v>264000</v>
      </c>
      <c r="E205" s="3">
        <v>670126</v>
      </c>
      <c r="F205" s="3">
        <f>-53836-51444+80000+80000-80000</f>
        <v>-25280</v>
      </c>
      <c r="G205" s="3"/>
      <c r="H205" s="3"/>
      <c r="I205" s="3"/>
      <c r="J205" s="20"/>
      <c r="K205" s="20"/>
      <c r="L205" s="20">
        <f t="shared" si="54"/>
        <v>644846</v>
      </c>
      <c r="M205" s="108">
        <v>644846</v>
      </c>
      <c r="N205" s="3">
        <f t="shared" si="64"/>
        <v>0</v>
      </c>
    </row>
    <row r="206" spans="1:14" x14ac:dyDescent="0.3">
      <c r="A206" s="285"/>
      <c r="B206" s="268"/>
      <c r="C206" s="26" t="s">
        <v>53</v>
      </c>
      <c r="D206" s="7">
        <f>SUM(D200:D205)</f>
        <v>10687165</v>
      </c>
      <c r="E206" s="7">
        <v>10791800</v>
      </c>
      <c r="F206" s="7">
        <f t="shared" ref="F206:N206" si="65">SUM(F200:F205)</f>
        <v>69408</v>
      </c>
      <c r="G206" s="7">
        <f t="shared" si="65"/>
        <v>0</v>
      </c>
      <c r="H206" s="7">
        <f t="shared" si="65"/>
        <v>0</v>
      </c>
      <c r="I206" s="7">
        <f t="shared" si="65"/>
        <v>0</v>
      </c>
      <c r="J206" s="7">
        <f t="shared" si="65"/>
        <v>0</v>
      </c>
      <c r="K206" s="7">
        <f t="shared" si="65"/>
        <v>0</v>
      </c>
      <c r="L206" s="7">
        <f t="shared" si="65"/>
        <v>10861208</v>
      </c>
      <c r="M206" s="110">
        <f t="shared" si="65"/>
        <v>10555212</v>
      </c>
      <c r="N206" s="7">
        <f t="shared" si="65"/>
        <v>305996</v>
      </c>
    </row>
    <row r="207" spans="1:14" x14ac:dyDescent="0.3">
      <c r="A207" s="285"/>
      <c r="B207" s="268"/>
      <c r="C207" s="86" t="s">
        <v>31</v>
      </c>
      <c r="D207" s="87">
        <v>2120857</v>
      </c>
      <c r="E207" s="87">
        <v>2120857</v>
      </c>
      <c r="F207" s="88"/>
      <c r="G207" s="88"/>
      <c r="H207" s="88"/>
      <c r="I207" s="88"/>
      <c r="J207" s="194"/>
      <c r="K207" s="194"/>
      <c r="L207" s="84">
        <f t="shared" si="54"/>
        <v>2120857</v>
      </c>
      <c r="M207" s="111">
        <v>2072280</v>
      </c>
      <c r="N207" s="85">
        <f t="shared" ref="N207:N215" si="66">L207-M207</f>
        <v>48577</v>
      </c>
    </row>
    <row r="208" spans="1:14" x14ac:dyDescent="0.3">
      <c r="A208" s="285"/>
      <c r="B208" s="268"/>
      <c r="C208" s="172" t="s">
        <v>32</v>
      </c>
      <c r="D208" s="169">
        <v>0</v>
      </c>
      <c r="E208" s="169">
        <v>33514</v>
      </c>
      <c r="F208" s="169">
        <v>-5928</v>
      </c>
      <c r="G208" s="169"/>
      <c r="H208" s="169"/>
      <c r="I208" s="169"/>
      <c r="J208" s="195"/>
      <c r="K208" s="195"/>
      <c r="L208" s="170">
        <f t="shared" si="54"/>
        <v>27586</v>
      </c>
      <c r="M208" s="114">
        <v>13514</v>
      </c>
      <c r="N208" s="171">
        <f t="shared" si="66"/>
        <v>14072</v>
      </c>
    </row>
    <row r="209" spans="1:14" x14ac:dyDescent="0.3">
      <c r="A209" s="285"/>
      <c r="B209" s="268"/>
      <c r="C209" s="99" t="s">
        <v>33</v>
      </c>
      <c r="D209" s="100">
        <v>0</v>
      </c>
      <c r="E209" s="100">
        <v>186928</v>
      </c>
      <c r="F209" s="100">
        <v>5928</v>
      </c>
      <c r="G209" s="100"/>
      <c r="H209" s="100"/>
      <c r="I209" s="100"/>
      <c r="J209" s="196"/>
      <c r="K209" s="196"/>
      <c r="L209" s="20">
        <f t="shared" si="54"/>
        <v>192856</v>
      </c>
      <c r="M209" s="114">
        <v>48251</v>
      </c>
      <c r="N209" s="3">
        <f t="shared" si="66"/>
        <v>144605</v>
      </c>
    </row>
    <row r="210" spans="1:14" x14ac:dyDescent="0.3">
      <c r="A210" s="285"/>
      <c r="B210" s="268"/>
      <c r="C210" s="46" t="s">
        <v>35</v>
      </c>
      <c r="D210" s="47">
        <v>0</v>
      </c>
      <c r="E210" s="47">
        <v>192800</v>
      </c>
      <c r="F210" s="47"/>
      <c r="G210" s="47"/>
      <c r="H210" s="47"/>
      <c r="I210" s="47"/>
      <c r="J210" s="197"/>
      <c r="K210" s="197"/>
      <c r="L210" s="20">
        <f t="shared" si="54"/>
        <v>192800</v>
      </c>
      <c r="M210" s="114">
        <v>42894</v>
      </c>
      <c r="N210" s="3">
        <f t="shared" si="66"/>
        <v>149906</v>
      </c>
    </row>
    <row r="211" spans="1:14" x14ac:dyDescent="0.3">
      <c r="A211" s="285"/>
      <c r="B211" s="268"/>
      <c r="C211" s="98" t="s">
        <v>38</v>
      </c>
      <c r="D211" s="47">
        <v>0</v>
      </c>
      <c r="E211" s="47">
        <v>28500</v>
      </c>
      <c r="F211" s="47"/>
      <c r="G211" s="47"/>
      <c r="H211" s="47"/>
      <c r="I211" s="47"/>
      <c r="J211" s="197"/>
      <c r="K211" s="197"/>
      <c r="L211" s="20">
        <f t="shared" si="54"/>
        <v>28500</v>
      </c>
      <c r="M211" s="114">
        <v>8300</v>
      </c>
      <c r="N211" s="3">
        <f t="shared" si="66"/>
        <v>20200</v>
      </c>
    </row>
    <row r="212" spans="1:14" x14ac:dyDescent="0.3">
      <c r="A212" s="285"/>
      <c r="B212" s="268"/>
      <c r="C212" s="131" t="s">
        <v>41</v>
      </c>
      <c r="D212" s="47">
        <v>0</v>
      </c>
      <c r="E212" s="47">
        <v>21685</v>
      </c>
      <c r="F212" s="47"/>
      <c r="G212" s="47"/>
      <c r="H212" s="47"/>
      <c r="I212" s="47"/>
      <c r="J212" s="197"/>
      <c r="K212" s="197"/>
      <c r="L212" s="20">
        <f t="shared" si="54"/>
        <v>21685</v>
      </c>
      <c r="M212" s="114">
        <v>4550</v>
      </c>
      <c r="N212" s="3">
        <f t="shared" si="66"/>
        <v>17135</v>
      </c>
    </row>
    <row r="213" spans="1:14" x14ac:dyDescent="0.3">
      <c r="A213" s="285"/>
      <c r="B213" s="268"/>
      <c r="C213" s="46" t="s">
        <v>42</v>
      </c>
      <c r="D213" s="47">
        <v>0</v>
      </c>
      <c r="E213" s="47">
        <v>228910</v>
      </c>
      <c r="F213" s="47"/>
      <c r="G213" s="47"/>
      <c r="H213" s="47"/>
      <c r="I213" s="47"/>
      <c r="J213" s="197"/>
      <c r="K213" s="197"/>
      <c r="L213" s="20">
        <f t="shared" si="54"/>
        <v>228910</v>
      </c>
      <c r="M213" s="114">
        <v>129705</v>
      </c>
      <c r="N213" s="3">
        <f t="shared" si="66"/>
        <v>99205</v>
      </c>
    </row>
    <row r="214" spans="1:14" x14ac:dyDescent="0.3">
      <c r="A214" s="285"/>
      <c r="B214" s="268"/>
      <c r="C214" s="46" t="s">
        <v>44</v>
      </c>
      <c r="D214" s="47">
        <v>0</v>
      </c>
      <c r="E214" s="47">
        <v>143836</v>
      </c>
      <c r="F214" s="47">
        <v>-62771</v>
      </c>
      <c r="G214" s="47"/>
      <c r="H214" s="47"/>
      <c r="I214" s="47"/>
      <c r="J214" s="197"/>
      <c r="K214" s="197"/>
      <c r="L214" s="20">
        <f t="shared" si="54"/>
        <v>81065</v>
      </c>
      <c r="M214" s="114">
        <v>50192</v>
      </c>
      <c r="N214" s="3">
        <f t="shared" si="66"/>
        <v>30873</v>
      </c>
    </row>
    <row r="215" spans="1:14" x14ac:dyDescent="0.3">
      <c r="A215" s="285"/>
      <c r="B215" s="268"/>
      <c r="C215" s="46" t="s">
        <v>45</v>
      </c>
      <c r="D215" s="47">
        <v>0</v>
      </c>
      <c r="E215" s="47">
        <v>379654</v>
      </c>
      <c r="F215" s="47">
        <f>62771-88139</f>
        <v>-25368</v>
      </c>
      <c r="G215" s="47"/>
      <c r="H215" s="47"/>
      <c r="I215" s="47"/>
      <c r="J215" s="197"/>
      <c r="K215" s="197"/>
      <c r="L215" s="20">
        <f t="shared" si="54"/>
        <v>354286</v>
      </c>
      <c r="M215" s="114">
        <v>350050</v>
      </c>
      <c r="N215" s="3">
        <f t="shared" si="66"/>
        <v>4236</v>
      </c>
    </row>
    <row r="216" spans="1:14" x14ac:dyDescent="0.3">
      <c r="A216" s="263"/>
      <c r="B216" s="265"/>
      <c r="C216" s="49" t="s">
        <v>49</v>
      </c>
      <c r="D216" s="50">
        <f t="shared" ref="D216:K216" si="67">SUM(D208:D215)</f>
        <v>0</v>
      </c>
      <c r="E216" s="50">
        <v>1215827</v>
      </c>
      <c r="F216" s="50">
        <f t="shared" si="67"/>
        <v>-88139</v>
      </c>
      <c r="G216" s="50">
        <f t="shared" si="67"/>
        <v>0</v>
      </c>
      <c r="H216" s="50">
        <f t="shared" si="67"/>
        <v>0</v>
      </c>
      <c r="I216" s="50">
        <f t="shared" si="67"/>
        <v>0</v>
      </c>
      <c r="J216" s="50">
        <f t="shared" si="67"/>
        <v>0</v>
      </c>
      <c r="K216" s="50">
        <f t="shared" si="67"/>
        <v>0</v>
      </c>
      <c r="L216" s="50">
        <f>SUM(L208:L215)</f>
        <v>1127688</v>
      </c>
      <c r="M216" s="50">
        <f t="shared" ref="M216:N216" si="68">SUM(M208:M215)</f>
        <v>647456</v>
      </c>
      <c r="N216" s="50">
        <f t="shared" si="68"/>
        <v>480232</v>
      </c>
    </row>
    <row r="217" spans="1:14" x14ac:dyDescent="0.3">
      <c r="A217" s="254" t="s">
        <v>68</v>
      </c>
      <c r="B217" s="279" t="s">
        <v>46</v>
      </c>
      <c r="C217" s="16" t="s">
        <v>24</v>
      </c>
      <c r="D217" s="17">
        <v>2501556</v>
      </c>
      <c r="E217" s="17">
        <v>2507158</v>
      </c>
      <c r="F217" s="17"/>
      <c r="G217" s="17"/>
      <c r="H217" s="17"/>
      <c r="I217" s="17"/>
      <c r="J217" s="198"/>
      <c r="K217" s="198">
        <v>67011</v>
      </c>
      <c r="L217" s="20">
        <f t="shared" si="54"/>
        <v>2574169</v>
      </c>
      <c r="M217" s="108">
        <v>2574169</v>
      </c>
      <c r="N217" s="3">
        <f t="shared" ref="N217:N218" si="69">L217-M217</f>
        <v>0</v>
      </c>
    </row>
    <row r="218" spans="1:14" x14ac:dyDescent="0.3">
      <c r="A218" s="262"/>
      <c r="B218" s="280"/>
      <c r="C218" s="18" t="s">
        <v>31</v>
      </c>
      <c r="D218" s="19">
        <v>466569</v>
      </c>
      <c r="E218" s="19">
        <v>467842</v>
      </c>
      <c r="F218" s="19"/>
      <c r="G218" s="19"/>
      <c r="H218" s="19"/>
      <c r="I218" s="19"/>
      <c r="J218" s="199"/>
      <c r="K218" s="199">
        <v>11727</v>
      </c>
      <c r="L218" s="20">
        <f t="shared" si="54"/>
        <v>479569</v>
      </c>
      <c r="M218" s="108">
        <v>479569</v>
      </c>
      <c r="N218" s="3">
        <f t="shared" si="69"/>
        <v>0</v>
      </c>
    </row>
    <row r="219" spans="1:14" x14ac:dyDescent="0.3">
      <c r="A219" s="319" t="s">
        <v>82</v>
      </c>
      <c r="B219" s="320"/>
      <c r="C219" s="321"/>
      <c r="D219" s="78">
        <f>SUM(D206+D207+D217+D218+D216)</f>
        <v>15776147</v>
      </c>
      <c r="E219" s="78">
        <v>17103484</v>
      </c>
      <c r="F219" s="78">
        <f t="shared" ref="F219:K219" si="70">SUM(F206+F207+F217+F218+F216)</f>
        <v>-18731</v>
      </c>
      <c r="G219" s="78">
        <f t="shared" si="70"/>
        <v>0</v>
      </c>
      <c r="H219" s="78">
        <f t="shared" si="70"/>
        <v>0</v>
      </c>
      <c r="I219" s="78">
        <f t="shared" si="70"/>
        <v>0</v>
      </c>
      <c r="J219" s="78">
        <f t="shared" si="70"/>
        <v>0</v>
      </c>
      <c r="K219" s="78">
        <f t="shared" si="70"/>
        <v>78738</v>
      </c>
      <c r="L219" s="78">
        <f>SUM(L206+L207+L217+L218+L216)</f>
        <v>17163491</v>
      </c>
      <c r="M219" s="116">
        <f>SUM(M206+M207+M217+M218+M216)</f>
        <v>16328686</v>
      </c>
      <c r="N219" s="79">
        <f>SUM(N206+N207+N217+N218+N216)</f>
        <v>834805</v>
      </c>
    </row>
    <row r="220" spans="1:14" ht="30.75" customHeight="1" x14ac:dyDescent="0.3">
      <c r="A220" s="415" t="s">
        <v>74</v>
      </c>
      <c r="B220" s="416"/>
      <c r="C220" s="417"/>
      <c r="D220" s="188">
        <f t="shared" ref="D220:M220" si="71">SUM(D89+D114+D136+D157+D180+D199+D219)</f>
        <v>230443641</v>
      </c>
      <c r="E220" s="188">
        <f t="shared" si="71"/>
        <v>230369755</v>
      </c>
      <c r="F220" s="188">
        <f t="shared" si="71"/>
        <v>0</v>
      </c>
      <c r="G220" s="188">
        <f t="shared" si="71"/>
        <v>-25298732</v>
      </c>
      <c r="H220" s="188">
        <f t="shared" si="71"/>
        <v>16016</v>
      </c>
      <c r="I220" s="188">
        <f>SUM(I89+I114+I136+I157+I180+I199+I219)</f>
        <v>-12604</v>
      </c>
      <c r="J220" s="188">
        <f>SUM(J89+J114+J136+J157+J180+J199+J219)</f>
        <v>-4692</v>
      </c>
      <c r="K220" s="188">
        <f t="shared" si="71"/>
        <v>-42719</v>
      </c>
      <c r="L220" s="188">
        <f t="shared" si="71"/>
        <v>205027024</v>
      </c>
      <c r="M220" s="189">
        <f t="shared" si="71"/>
        <v>192920677</v>
      </c>
      <c r="N220" s="188">
        <f>SUM(N89+N114+N136+N157+N180+N199+N219)</f>
        <v>12106347</v>
      </c>
    </row>
    <row r="221" spans="1:14" x14ac:dyDescent="0.3">
      <c r="B221" s="5"/>
      <c r="E221" s="4"/>
      <c r="F221" s="4"/>
      <c r="G221" s="4"/>
      <c r="H221" s="4"/>
      <c r="I221" s="4"/>
      <c r="J221" s="4"/>
      <c r="K221" s="4"/>
      <c r="L221" s="4"/>
      <c r="M221" s="107"/>
    </row>
    <row r="222" spans="1:14" x14ac:dyDescent="0.3">
      <c r="B222" s="5"/>
      <c r="E222" s="4"/>
      <c r="F222" s="4"/>
      <c r="G222" s="4"/>
      <c r="H222" s="4"/>
      <c r="I222" s="4"/>
      <c r="J222" s="4"/>
      <c r="K222" s="4"/>
      <c r="L222" s="4"/>
      <c r="M222" s="107"/>
    </row>
    <row r="223" spans="1:14" x14ac:dyDescent="0.3">
      <c r="B223" s="5"/>
      <c r="E223" s="4"/>
      <c r="F223" s="4"/>
      <c r="G223" s="4"/>
      <c r="H223" s="4"/>
      <c r="I223" s="4"/>
      <c r="J223" s="4"/>
      <c r="K223" s="4"/>
      <c r="L223" s="4"/>
      <c r="M223" s="107"/>
    </row>
    <row r="224" spans="1:14" x14ac:dyDescent="0.3">
      <c r="B224" s="5"/>
      <c r="E224" s="4"/>
      <c r="F224" s="4"/>
      <c r="G224" s="4"/>
      <c r="H224" s="4"/>
      <c r="I224" s="4"/>
      <c r="J224" s="4"/>
      <c r="K224" s="4"/>
      <c r="L224" s="4"/>
      <c r="M224" s="107"/>
    </row>
    <row r="225" spans="1:13" x14ac:dyDescent="0.3">
      <c r="B225" s="5"/>
      <c r="E225" s="4"/>
      <c r="F225" s="4"/>
      <c r="G225" s="4"/>
      <c r="H225" s="4"/>
      <c r="I225" s="4"/>
      <c r="J225" s="4"/>
      <c r="K225" s="4"/>
      <c r="L225" s="4"/>
      <c r="M225" s="107"/>
    </row>
    <row r="226" spans="1:13" ht="15" thickBot="1" x14ac:dyDescent="0.35">
      <c r="B226" s="5"/>
      <c r="E226" s="4"/>
      <c r="F226" s="4"/>
      <c r="G226" s="130">
        <v>43830</v>
      </c>
      <c r="H226" s="4"/>
      <c r="I226" s="4"/>
      <c r="J226" s="4"/>
      <c r="K226" s="4"/>
      <c r="L226" s="4"/>
      <c r="M226" s="107"/>
    </row>
    <row r="227" spans="1:13" ht="15" thickTop="1" x14ac:dyDescent="0.3">
      <c r="A227" s="283" t="s">
        <v>83</v>
      </c>
      <c r="B227" s="283"/>
      <c r="C227" s="283"/>
      <c r="D227" s="283"/>
      <c r="E227" s="283"/>
      <c r="F227" s="283"/>
      <c r="G227" s="283"/>
      <c r="H227" s="283"/>
      <c r="I227" s="283"/>
      <c r="J227" s="283"/>
      <c r="K227" s="283"/>
      <c r="L227" s="283"/>
      <c r="M227" s="283"/>
    </row>
    <row r="228" spans="1:13" s="168" customFormat="1" ht="69.75" customHeight="1" x14ac:dyDescent="0.3">
      <c r="A228" s="323" t="s">
        <v>0</v>
      </c>
      <c r="B228" s="324"/>
      <c r="C228" s="202" t="s">
        <v>3</v>
      </c>
      <c r="D228" s="202" t="s">
        <v>4</v>
      </c>
      <c r="E228" s="203" t="s">
        <v>166</v>
      </c>
      <c r="F228" s="204" t="s">
        <v>70</v>
      </c>
      <c r="G228" s="205" t="s">
        <v>183</v>
      </c>
      <c r="H228" s="205" t="s">
        <v>179</v>
      </c>
      <c r="I228" s="205" t="s">
        <v>180</v>
      </c>
      <c r="J228" s="205" t="s">
        <v>181</v>
      </c>
      <c r="K228" s="205" t="s">
        <v>182</v>
      </c>
      <c r="L228" s="203" t="s">
        <v>176</v>
      </c>
      <c r="M228" s="206" t="s">
        <v>177</v>
      </c>
    </row>
    <row r="229" spans="1:13" x14ac:dyDescent="0.3">
      <c r="A229" s="325"/>
      <c r="B229" s="326"/>
      <c r="C229" s="33" t="s">
        <v>16</v>
      </c>
      <c r="D229" s="34">
        <f t="shared" ref="D229:M230" si="72">D5+D15+D17+D19+D21+D23</f>
        <v>117230959</v>
      </c>
      <c r="E229" s="34">
        <f t="shared" si="72"/>
        <v>115273157</v>
      </c>
      <c r="F229" s="34">
        <f t="shared" si="72"/>
        <v>0</v>
      </c>
      <c r="G229" s="34">
        <f t="shared" si="72"/>
        <v>-25298732</v>
      </c>
      <c r="H229" s="34">
        <f t="shared" si="72"/>
        <v>0</v>
      </c>
      <c r="I229" s="34">
        <f t="shared" si="72"/>
        <v>0</v>
      </c>
      <c r="J229" s="34">
        <f t="shared" ref="J229:K229" si="73">J5+J15+J17+J19+J21+J23</f>
        <v>0</v>
      </c>
      <c r="K229" s="34">
        <f t="shared" si="73"/>
        <v>0</v>
      </c>
      <c r="L229" s="34">
        <f t="shared" si="72"/>
        <v>89974425</v>
      </c>
      <c r="M229" s="34">
        <f t="shared" si="72"/>
        <v>89974425</v>
      </c>
    </row>
    <row r="230" spans="1:13" x14ac:dyDescent="0.3">
      <c r="A230" s="325"/>
      <c r="B230" s="326"/>
      <c r="C230" s="33" t="s">
        <v>17</v>
      </c>
      <c r="D230" s="34">
        <f t="shared" si="72"/>
        <v>16012810</v>
      </c>
      <c r="E230" s="34">
        <f t="shared" si="72"/>
        <v>16012810</v>
      </c>
      <c r="F230" s="34">
        <f t="shared" si="72"/>
        <v>0</v>
      </c>
      <c r="G230" s="34">
        <f t="shared" si="72"/>
        <v>0</v>
      </c>
      <c r="H230" s="34">
        <f t="shared" si="72"/>
        <v>0</v>
      </c>
      <c r="I230" s="34">
        <f t="shared" si="72"/>
        <v>0</v>
      </c>
      <c r="J230" s="34">
        <f t="shared" ref="J230:K230" si="74">J6+J16+J18+J20+J22+J24</f>
        <v>0</v>
      </c>
      <c r="K230" s="34">
        <f t="shared" si="74"/>
        <v>0</v>
      </c>
      <c r="L230" s="34">
        <f t="shared" si="72"/>
        <v>16012810</v>
      </c>
      <c r="M230" s="34">
        <f t="shared" si="72"/>
        <v>16012810</v>
      </c>
    </row>
    <row r="231" spans="1:13" x14ac:dyDescent="0.3">
      <c r="A231" s="325"/>
      <c r="B231" s="326"/>
      <c r="C231" s="33" t="s">
        <v>18</v>
      </c>
      <c r="D231" s="34">
        <f t="shared" ref="D231:M233" si="75">D8</f>
        <v>96985672</v>
      </c>
      <c r="E231" s="34">
        <f t="shared" si="75"/>
        <v>98837588</v>
      </c>
      <c r="F231" s="34">
        <f t="shared" si="75"/>
        <v>0</v>
      </c>
      <c r="G231" s="34">
        <f t="shared" si="75"/>
        <v>0</v>
      </c>
      <c r="H231" s="34">
        <f t="shared" si="75"/>
        <v>16016</v>
      </c>
      <c r="I231" s="34">
        <f t="shared" si="75"/>
        <v>0</v>
      </c>
      <c r="J231" s="34">
        <f t="shared" ref="J231:K231" si="76">J8</f>
        <v>-4692</v>
      </c>
      <c r="K231" s="34">
        <f t="shared" si="76"/>
        <v>-42719</v>
      </c>
      <c r="L231" s="34">
        <f t="shared" si="75"/>
        <v>98806193</v>
      </c>
      <c r="M231" s="34">
        <f t="shared" si="75"/>
        <v>98806193</v>
      </c>
    </row>
    <row r="232" spans="1:13" x14ac:dyDescent="0.3">
      <c r="A232" s="325"/>
      <c r="B232" s="326"/>
      <c r="C232" s="35" t="s">
        <v>22</v>
      </c>
      <c r="D232" s="34">
        <f>D9+D7</f>
        <v>200000</v>
      </c>
      <c r="E232" s="34">
        <f t="shared" ref="E232:M232" si="77">E9+E7</f>
        <v>200000</v>
      </c>
      <c r="F232" s="34">
        <f t="shared" si="77"/>
        <v>0</v>
      </c>
      <c r="G232" s="34">
        <f t="shared" si="77"/>
        <v>0</v>
      </c>
      <c r="H232" s="34">
        <f t="shared" si="77"/>
        <v>0</v>
      </c>
      <c r="I232" s="34">
        <f t="shared" si="77"/>
        <v>0</v>
      </c>
      <c r="J232" s="34">
        <f t="shared" ref="J232:K232" si="78">J9+J7</f>
        <v>0</v>
      </c>
      <c r="K232" s="34">
        <f t="shared" si="78"/>
        <v>0</v>
      </c>
      <c r="L232" s="34">
        <f t="shared" si="77"/>
        <v>200000</v>
      </c>
      <c r="M232" s="34">
        <f t="shared" si="77"/>
        <v>200000</v>
      </c>
    </row>
    <row r="233" spans="1:13" x14ac:dyDescent="0.3">
      <c r="A233" s="325"/>
      <c r="B233" s="326"/>
      <c r="C233" s="35" t="s">
        <v>19</v>
      </c>
      <c r="D233" s="34">
        <f t="shared" si="75"/>
        <v>13200</v>
      </c>
      <c r="E233" s="34">
        <f t="shared" si="75"/>
        <v>31926</v>
      </c>
      <c r="F233" s="34">
        <f t="shared" si="75"/>
        <v>0</v>
      </c>
      <c r="G233" s="34">
        <f t="shared" si="75"/>
        <v>0</v>
      </c>
      <c r="H233" s="34">
        <f t="shared" si="75"/>
        <v>0</v>
      </c>
      <c r="I233" s="34">
        <f t="shared" si="75"/>
        <v>-5724</v>
      </c>
      <c r="J233" s="34">
        <f t="shared" ref="J233:K233" si="79">J10</f>
        <v>0</v>
      </c>
      <c r="K233" s="34">
        <f t="shared" si="79"/>
        <v>0</v>
      </c>
      <c r="L233" s="34">
        <f t="shared" si="75"/>
        <v>26202</v>
      </c>
      <c r="M233" s="34">
        <f t="shared" si="75"/>
        <v>26202</v>
      </c>
    </row>
    <row r="234" spans="1:13" x14ac:dyDescent="0.3">
      <c r="A234" s="325"/>
      <c r="B234" s="326"/>
      <c r="C234" s="35" t="s">
        <v>84</v>
      </c>
      <c r="D234" s="34">
        <f t="shared" ref="D234:M234" si="80">D14+D12</f>
        <v>0</v>
      </c>
      <c r="E234" s="34">
        <f t="shared" si="80"/>
        <v>12949</v>
      </c>
      <c r="F234" s="34">
        <f t="shared" si="80"/>
        <v>0</v>
      </c>
      <c r="G234" s="34">
        <f t="shared" si="80"/>
        <v>0</v>
      </c>
      <c r="H234" s="34">
        <f t="shared" si="80"/>
        <v>0</v>
      </c>
      <c r="I234" s="34">
        <f t="shared" si="80"/>
        <v>-5942</v>
      </c>
      <c r="J234" s="34">
        <f t="shared" ref="J234:K234" si="81">J14+J12</f>
        <v>0</v>
      </c>
      <c r="K234" s="34">
        <f t="shared" si="81"/>
        <v>0</v>
      </c>
      <c r="L234" s="34">
        <f t="shared" si="80"/>
        <v>7007</v>
      </c>
      <c r="M234" s="34">
        <f t="shared" si="80"/>
        <v>7007</v>
      </c>
    </row>
    <row r="235" spans="1:13" x14ac:dyDescent="0.3">
      <c r="A235" s="325"/>
      <c r="B235" s="326"/>
      <c r="C235" s="33" t="s">
        <v>20</v>
      </c>
      <c r="D235" s="34">
        <f t="shared" ref="D235:M235" si="82">D11+D13</f>
        <v>1000</v>
      </c>
      <c r="E235" s="34">
        <f t="shared" si="82"/>
        <v>1325</v>
      </c>
      <c r="F235" s="34">
        <f t="shared" si="82"/>
        <v>0</v>
      </c>
      <c r="G235" s="34">
        <f t="shared" si="82"/>
        <v>0</v>
      </c>
      <c r="H235" s="34">
        <f t="shared" si="82"/>
        <v>0</v>
      </c>
      <c r="I235" s="34">
        <f t="shared" si="82"/>
        <v>-938</v>
      </c>
      <c r="J235" s="34">
        <f t="shared" ref="J235:K235" si="83">J11+J13</f>
        <v>0</v>
      </c>
      <c r="K235" s="34">
        <f t="shared" si="83"/>
        <v>0</v>
      </c>
      <c r="L235" s="34">
        <f t="shared" si="82"/>
        <v>387</v>
      </c>
      <c r="M235" s="34">
        <f t="shared" si="82"/>
        <v>387</v>
      </c>
    </row>
    <row r="236" spans="1:13" x14ac:dyDescent="0.3">
      <c r="A236" s="325"/>
      <c r="B236" s="326"/>
      <c r="C236" s="63" t="s">
        <v>86</v>
      </c>
      <c r="D236" s="64">
        <f t="shared" ref="D236:M236" si="84">D14+D13+D12+D11+D10</f>
        <v>14200</v>
      </c>
      <c r="E236" s="64">
        <f t="shared" si="84"/>
        <v>46200</v>
      </c>
      <c r="F236" s="64">
        <f t="shared" si="84"/>
        <v>0</v>
      </c>
      <c r="G236" s="64">
        <f t="shared" si="84"/>
        <v>0</v>
      </c>
      <c r="H236" s="64">
        <f t="shared" si="84"/>
        <v>0</v>
      </c>
      <c r="I236" s="64">
        <f t="shared" si="84"/>
        <v>-12604</v>
      </c>
      <c r="J236" s="64">
        <f t="shared" ref="J236:K236" si="85">J14+J13+J12+J11+J10</f>
        <v>0</v>
      </c>
      <c r="K236" s="64">
        <f t="shared" si="85"/>
        <v>0</v>
      </c>
      <c r="L236" s="64">
        <f t="shared" si="84"/>
        <v>33596</v>
      </c>
      <c r="M236" s="64">
        <f t="shared" si="84"/>
        <v>33596</v>
      </c>
    </row>
    <row r="237" spans="1:13" x14ac:dyDescent="0.3">
      <c r="A237" s="325"/>
      <c r="B237" s="326"/>
      <c r="C237" s="63" t="s">
        <v>87</v>
      </c>
      <c r="D237" s="64">
        <f t="shared" ref="D237:M237" si="86">D24+D22+D20+D18+D16+D8+D6</f>
        <v>112998482</v>
      </c>
      <c r="E237" s="64">
        <f t="shared" si="86"/>
        <v>114850398</v>
      </c>
      <c r="F237" s="64">
        <f t="shared" si="86"/>
        <v>0</v>
      </c>
      <c r="G237" s="64">
        <f t="shared" si="86"/>
        <v>0</v>
      </c>
      <c r="H237" s="64">
        <f t="shared" si="86"/>
        <v>16016</v>
      </c>
      <c r="I237" s="64">
        <f t="shared" si="86"/>
        <v>0</v>
      </c>
      <c r="J237" s="64">
        <f t="shared" ref="J237:K237" si="87">J24+J22+J20+J18+J16+J8+J6</f>
        <v>-4692</v>
      </c>
      <c r="K237" s="64">
        <f t="shared" si="87"/>
        <v>-42719</v>
      </c>
      <c r="L237" s="64">
        <f t="shared" si="86"/>
        <v>114819003</v>
      </c>
      <c r="M237" s="64">
        <f t="shared" si="86"/>
        <v>114819003</v>
      </c>
    </row>
    <row r="238" spans="1:13" x14ac:dyDescent="0.3">
      <c r="A238" s="325"/>
      <c r="B238" s="326"/>
      <c r="C238" s="63" t="s">
        <v>94</v>
      </c>
      <c r="D238" s="64">
        <f t="shared" ref="D238:M238" si="88">D25</f>
        <v>230443641</v>
      </c>
      <c r="E238" s="64">
        <f t="shared" si="88"/>
        <v>230369755</v>
      </c>
      <c r="F238" s="64">
        <f t="shared" si="88"/>
        <v>0</v>
      </c>
      <c r="G238" s="64">
        <f t="shared" si="88"/>
        <v>-25298732</v>
      </c>
      <c r="H238" s="64">
        <f t="shared" si="88"/>
        <v>16016</v>
      </c>
      <c r="I238" s="64">
        <f t="shared" si="88"/>
        <v>-12604</v>
      </c>
      <c r="J238" s="64">
        <f t="shared" ref="J238:K238" si="89">J25</f>
        <v>-4692</v>
      </c>
      <c r="K238" s="64">
        <f t="shared" si="89"/>
        <v>-42719</v>
      </c>
      <c r="L238" s="64">
        <f t="shared" si="88"/>
        <v>205027024</v>
      </c>
      <c r="M238" s="64">
        <f t="shared" si="88"/>
        <v>205027024</v>
      </c>
    </row>
    <row r="239" spans="1:13" x14ac:dyDescent="0.3">
      <c r="A239" s="325"/>
      <c r="B239" s="326"/>
      <c r="C239" s="33" t="s">
        <v>24</v>
      </c>
      <c r="D239" s="34">
        <f t="shared" ref="D239:I239" si="90">D90+D112+D115+D134+D137+D155+D158+D178+D200+D217+D181+D87+D85+D53+D26</f>
        <v>128356144</v>
      </c>
      <c r="E239" s="34">
        <f t="shared" si="90"/>
        <v>126863758</v>
      </c>
      <c r="F239" s="34">
        <f t="shared" si="90"/>
        <v>-856188</v>
      </c>
      <c r="G239" s="34">
        <f t="shared" si="90"/>
        <v>-2956311</v>
      </c>
      <c r="H239" s="34">
        <f t="shared" si="90"/>
        <v>13629</v>
      </c>
      <c r="I239" s="34">
        <f t="shared" si="90"/>
        <v>0</v>
      </c>
      <c r="J239" s="34">
        <f t="shared" ref="J239:K239" si="91">J90+J112+J115+J134+J137+J155+J158+J178+J200+J217+J181+J87+J85+J53+J26</f>
        <v>0</v>
      </c>
      <c r="K239" s="34">
        <f t="shared" si="91"/>
        <v>-36352</v>
      </c>
      <c r="L239" s="34">
        <f>L217+L200+L181+L178+L158+L155+L137+L134+L115+L112+L90+L87+L85+L53+L26</f>
        <v>123028536</v>
      </c>
      <c r="M239" s="34">
        <f>M217+M200+M181+M178+M158+M155+M137+M134+M115+M112+M90+M87+M85+M53+M26</f>
        <v>118995305</v>
      </c>
    </row>
    <row r="240" spans="1:13" x14ac:dyDescent="0.3">
      <c r="A240" s="325"/>
      <c r="B240" s="326"/>
      <c r="C240" s="33" t="s">
        <v>47</v>
      </c>
      <c r="D240" s="34">
        <f t="shared" ref="D240:M241" si="92">D54</f>
        <v>2040480</v>
      </c>
      <c r="E240" s="34">
        <f t="shared" si="92"/>
        <v>2040480</v>
      </c>
      <c r="F240" s="34">
        <f t="shared" si="92"/>
        <v>0</v>
      </c>
      <c r="G240" s="34">
        <f t="shared" si="92"/>
        <v>0</v>
      </c>
      <c r="H240" s="34">
        <f t="shared" si="92"/>
        <v>0</v>
      </c>
      <c r="I240" s="34">
        <f t="shared" si="92"/>
        <v>0</v>
      </c>
      <c r="J240" s="34">
        <f t="shared" ref="J240:K240" si="93">J54</f>
        <v>0</v>
      </c>
      <c r="K240" s="34">
        <f t="shared" si="93"/>
        <v>0</v>
      </c>
      <c r="L240" s="34">
        <f t="shared" si="92"/>
        <v>2040480</v>
      </c>
      <c r="M240" s="41">
        <f t="shared" si="92"/>
        <v>1928489</v>
      </c>
    </row>
    <row r="241" spans="1:13" x14ac:dyDescent="0.3">
      <c r="A241" s="325"/>
      <c r="B241" s="326"/>
      <c r="C241" s="33" t="s">
        <v>48</v>
      </c>
      <c r="D241" s="34">
        <f t="shared" si="92"/>
        <v>0</v>
      </c>
      <c r="E241" s="34">
        <f t="shared" si="92"/>
        <v>0</v>
      </c>
      <c r="F241" s="34">
        <f t="shared" si="92"/>
        <v>0</v>
      </c>
      <c r="G241" s="34">
        <f t="shared" si="92"/>
        <v>0</v>
      </c>
      <c r="H241" s="34">
        <f t="shared" si="92"/>
        <v>0</v>
      </c>
      <c r="I241" s="34">
        <f t="shared" si="92"/>
        <v>0</v>
      </c>
      <c r="J241" s="34">
        <f t="shared" ref="J241:K241" si="94">J55</f>
        <v>0</v>
      </c>
      <c r="K241" s="34">
        <f t="shared" si="94"/>
        <v>0</v>
      </c>
      <c r="L241" s="34">
        <f t="shared" si="92"/>
        <v>0</v>
      </c>
      <c r="M241" s="34">
        <f t="shared" si="92"/>
        <v>0</v>
      </c>
    </row>
    <row r="242" spans="1:13" x14ac:dyDescent="0.3">
      <c r="A242" s="325"/>
      <c r="B242" s="326"/>
      <c r="C242" s="35" t="s">
        <v>25</v>
      </c>
      <c r="D242" s="34">
        <f t="shared" ref="D242:M243" si="95">D201+D159+D138+D116+D91+D56+D27</f>
        <v>3992000</v>
      </c>
      <c r="E242" s="34">
        <f t="shared" si="95"/>
        <v>3992000</v>
      </c>
      <c r="F242" s="34">
        <f t="shared" si="95"/>
        <v>460500</v>
      </c>
      <c r="G242" s="34">
        <f t="shared" si="95"/>
        <v>0</v>
      </c>
      <c r="H242" s="34">
        <f t="shared" si="95"/>
        <v>0</v>
      </c>
      <c r="I242" s="34">
        <f t="shared" si="95"/>
        <v>0</v>
      </c>
      <c r="J242" s="34">
        <f t="shared" ref="J242:K242" si="96">J201+J159+J138+J116+J91+J56+J27</f>
        <v>0</v>
      </c>
      <c r="K242" s="34">
        <f t="shared" si="96"/>
        <v>0</v>
      </c>
      <c r="L242" s="34">
        <f t="shared" si="95"/>
        <v>4452500</v>
      </c>
      <c r="M242" s="34">
        <f t="shared" si="95"/>
        <v>4452500</v>
      </c>
    </row>
    <row r="243" spans="1:13" x14ac:dyDescent="0.3">
      <c r="A243" s="325"/>
      <c r="B243" s="326"/>
      <c r="C243" s="35" t="s">
        <v>26</v>
      </c>
      <c r="D243" s="34">
        <f t="shared" si="95"/>
        <v>200000</v>
      </c>
      <c r="E243" s="34">
        <f t="shared" si="95"/>
        <v>200000</v>
      </c>
      <c r="F243" s="34">
        <f t="shared" si="95"/>
        <v>0</v>
      </c>
      <c r="G243" s="34">
        <f t="shared" si="95"/>
        <v>0</v>
      </c>
      <c r="H243" s="34">
        <f t="shared" si="95"/>
        <v>0</v>
      </c>
      <c r="I243" s="34">
        <f t="shared" si="95"/>
        <v>0</v>
      </c>
      <c r="J243" s="34">
        <f t="shared" ref="J243:K243" si="97">J202+J160+J139+J117+J92+J57+J28</f>
        <v>0</v>
      </c>
      <c r="K243" s="34">
        <f t="shared" si="97"/>
        <v>0</v>
      </c>
      <c r="L243" s="34">
        <f t="shared" si="95"/>
        <v>200000</v>
      </c>
      <c r="M243" s="34">
        <f t="shared" si="95"/>
        <v>185000</v>
      </c>
    </row>
    <row r="244" spans="1:13" x14ac:dyDescent="0.3">
      <c r="A244" s="325"/>
      <c r="B244" s="326"/>
      <c r="C244" s="33" t="s">
        <v>27</v>
      </c>
      <c r="D244" s="34">
        <f t="shared" ref="D244:M244" si="98">D203+D140+D93+D58+D29</f>
        <v>1661400</v>
      </c>
      <c r="E244" s="34">
        <f t="shared" si="98"/>
        <v>1661400</v>
      </c>
      <c r="F244" s="34">
        <f t="shared" si="98"/>
        <v>-18180</v>
      </c>
      <c r="G244" s="34">
        <f t="shared" si="98"/>
        <v>0</v>
      </c>
      <c r="H244" s="34">
        <f t="shared" si="98"/>
        <v>0</v>
      </c>
      <c r="I244" s="34">
        <f t="shared" si="98"/>
        <v>0</v>
      </c>
      <c r="J244" s="34">
        <f t="shared" ref="J244:K244" si="99">J203+J140+J93+J58+J29</f>
        <v>0</v>
      </c>
      <c r="K244" s="34">
        <f t="shared" si="99"/>
        <v>0</v>
      </c>
      <c r="L244" s="34">
        <f t="shared" si="98"/>
        <v>1643220</v>
      </c>
      <c r="M244" s="34">
        <f t="shared" si="98"/>
        <v>1458580</v>
      </c>
    </row>
    <row r="245" spans="1:13" x14ac:dyDescent="0.3">
      <c r="A245" s="325"/>
      <c r="B245" s="326"/>
      <c r="C245" s="35" t="s">
        <v>28</v>
      </c>
      <c r="D245" s="34">
        <f t="shared" ref="D245:M245" si="100">D204+D161+D141+D118+D59+D30+D94</f>
        <v>481000</v>
      </c>
      <c r="E245" s="34">
        <f t="shared" si="100"/>
        <v>481000</v>
      </c>
      <c r="F245" s="34">
        <f t="shared" si="100"/>
        <v>0</v>
      </c>
      <c r="G245" s="34">
        <f t="shared" si="100"/>
        <v>0</v>
      </c>
      <c r="H245" s="34">
        <f t="shared" si="100"/>
        <v>0</v>
      </c>
      <c r="I245" s="34">
        <f t="shared" si="100"/>
        <v>0</v>
      </c>
      <c r="J245" s="34">
        <f t="shared" ref="J245:K245" si="101">J204+J161+J141+J118+J59+J30+J94</f>
        <v>0</v>
      </c>
      <c r="K245" s="34">
        <f t="shared" si="101"/>
        <v>0</v>
      </c>
      <c r="L245" s="34">
        <f t="shared" si="100"/>
        <v>481000</v>
      </c>
      <c r="M245" s="34">
        <f t="shared" si="100"/>
        <v>444000</v>
      </c>
    </row>
    <row r="246" spans="1:13" x14ac:dyDescent="0.3">
      <c r="A246" s="325"/>
      <c r="B246" s="326"/>
      <c r="C246" s="33" t="s">
        <v>29</v>
      </c>
      <c r="D246" s="34">
        <f t="shared" ref="D246:M246" si="102">D205+D176+D162+D142+D119+D110+D95+D83+D81+D60+D31+D132</f>
        <v>3451400</v>
      </c>
      <c r="E246" s="34">
        <f t="shared" si="102"/>
        <v>4813906</v>
      </c>
      <c r="F246" s="34">
        <f t="shared" si="102"/>
        <v>-507366</v>
      </c>
      <c r="G246" s="34">
        <f t="shared" si="102"/>
        <v>0</v>
      </c>
      <c r="H246" s="34">
        <f t="shared" si="102"/>
        <v>0</v>
      </c>
      <c r="I246" s="34">
        <f t="shared" si="102"/>
        <v>0</v>
      </c>
      <c r="J246" s="34">
        <f t="shared" ref="J246:K246" si="103">J205+J176+J162+J142+J119+J110+J95+J83+J81+J60+J31+J132</f>
        <v>-4000</v>
      </c>
      <c r="K246" s="34">
        <f t="shared" si="103"/>
        <v>0</v>
      </c>
      <c r="L246" s="34">
        <f t="shared" si="102"/>
        <v>4302540</v>
      </c>
      <c r="M246" s="34">
        <f t="shared" si="102"/>
        <v>4251040</v>
      </c>
    </row>
    <row r="247" spans="1:13" x14ac:dyDescent="0.3">
      <c r="A247" s="325"/>
      <c r="B247" s="326"/>
      <c r="C247" s="35" t="s">
        <v>30</v>
      </c>
      <c r="D247" s="34">
        <f t="shared" ref="D247:L247" si="104">D163+D143+D120+D61+D32+D182+D96</f>
        <v>200000</v>
      </c>
      <c r="E247" s="34">
        <f t="shared" si="104"/>
        <v>227520</v>
      </c>
      <c r="F247" s="34">
        <f t="shared" si="104"/>
        <v>-28556</v>
      </c>
      <c r="G247" s="34">
        <f t="shared" si="104"/>
        <v>0</v>
      </c>
      <c r="H247" s="34">
        <f t="shared" si="104"/>
        <v>0</v>
      </c>
      <c r="I247" s="34">
        <f t="shared" si="104"/>
        <v>0</v>
      </c>
      <c r="J247" s="34">
        <f t="shared" ref="J247:K247" si="105">J163+J143+J120+J61+J32+J182+J96</f>
        <v>0</v>
      </c>
      <c r="K247" s="34">
        <f t="shared" si="105"/>
        <v>0</v>
      </c>
      <c r="L247" s="34">
        <f t="shared" si="104"/>
        <v>198964</v>
      </c>
      <c r="M247" s="34">
        <f>M163+M143+M120+M61+M32+M182+M96</f>
        <v>163116</v>
      </c>
    </row>
    <row r="248" spans="1:13" x14ac:dyDescent="0.3">
      <c r="A248" s="325"/>
      <c r="B248" s="326"/>
      <c r="C248" s="63" t="s">
        <v>53</v>
      </c>
      <c r="D248" s="64">
        <f t="shared" ref="D248:M248" si="106">D206+D183+D164+D144+D217+D178+D155+D134+D132+D176+D121+D112+D110+D97+D87+D85+D83+D81+D62+D33</f>
        <v>140382424</v>
      </c>
      <c r="E248" s="64">
        <f t="shared" si="106"/>
        <v>140280064</v>
      </c>
      <c r="F248" s="64">
        <f t="shared" si="106"/>
        <v>-949790</v>
      </c>
      <c r="G248" s="64">
        <f t="shared" si="106"/>
        <v>-2956311</v>
      </c>
      <c r="H248" s="64">
        <f t="shared" si="106"/>
        <v>13629</v>
      </c>
      <c r="I248" s="64">
        <f t="shared" si="106"/>
        <v>0</v>
      </c>
      <c r="J248" s="64">
        <f t="shared" ref="J248:K248" si="107">J206+J183+J164+J144+J217+J178+J155+J134+J132+J176+J121+J112+J110+J97+J87+J85+J83+J81+J62+J33</f>
        <v>-4000</v>
      </c>
      <c r="K248" s="64">
        <f t="shared" si="107"/>
        <v>-36352</v>
      </c>
      <c r="L248" s="64">
        <f t="shared" si="106"/>
        <v>136347240</v>
      </c>
      <c r="M248" s="64">
        <f t="shared" si="106"/>
        <v>131878030</v>
      </c>
    </row>
    <row r="249" spans="1:13" x14ac:dyDescent="0.3">
      <c r="A249" s="325"/>
      <c r="B249" s="326"/>
      <c r="C249" s="65" t="s">
        <v>31</v>
      </c>
      <c r="D249" s="64">
        <f t="shared" ref="D249:M249" si="108">D207+D184+D179+D177+D218+D165+D156+D145+D135+D133+D122+D113+D111+D98+D88+D86+D84+D82+D63+D34</f>
        <v>27536677</v>
      </c>
      <c r="E249" s="64">
        <f t="shared" si="108"/>
        <v>31807701</v>
      </c>
      <c r="F249" s="64">
        <f t="shared" si="108"/>
        <v>-30793</v>
      </c>
      <c r="G249" s="64">
        <f t="shared" si="108"/>
        <v>-2224675</v>
      </c>
      <c r="H249" s="64">
        <f t="shared" si="108"/>
        <v>2387</v>
      </c>
      <c r="I249" s="64">
        <f t="shared" si="108"/>
        <v>0</v>
      </c>
      <c r="J249" s="64">
        <f t="shared" ref="J249:K249" si="109">J207+J184+J179+J177+J218+J165+J156+J145+J135+J133+J122+J113+J111+J98+J88+J86+J84+J82+J63+J34</f>
        <v>-692</v>
      </c>
      <c r="K249" s="64">
        <f t="shared" si="109"/>
        <v>-6367</v>
      </c>
      <c r="L249" s="64">
        <f t="shared" si="108"/>
        <v>29547561</v>
      </c>
      <c r="M249" s="64">
        <f t="shared" si="108"/>
        <v>28871468</v>
      </c>
    </row>
    <row r="250" spans="1:13" x14ac:dyDescent="0.3">
      <c r="A250" s="325"/>
      <c r="B250" s="326"/>
      <c r="C250" s="33" t="s">
        <v>32</v>
      </c>
      <c r="D250" s="34">
        <f t="shared" ref="D250:M250" si="110">D166+D146+D123+D99+D64+D35+D208</f>
        <v>540000</v>
      </c>
      <c r="E250" s="34">
        <f t="shared" si="110"/>
        <v>724254</v>
      </c>
      <c r="F250" s="34">
        <f t="shared" si="110"/>
        <v>56932</v>
      </c>
      <c r="G250" s="34">
        <f t="shared" si="110"/>
        <v>0</v>
      </c>
      <c r="H250" s="34">
        <f t="shared" si="110"/>
        <v>0</v>
      </c>
      <c r="I250" s="34">
        <f t="shared" si="110"/>
        <v>0</v>
      </c>
      <c r="J250" s="34">
        <f t="shared" ref="J250:K250" si="111">J166+J146+J123+J99+J64+J35+J208</f>
        <v>0</v>
      </c>
      <c r="K250" s="34">
        <f t="shared" si="111"/>
        <v>0</v>
      </c>
      <c r="L250" s="34">
        <f t="shared" si="110"/>
        <v>781186</v>
      </c>
      <c r="M250" s="34">
        <f t="shared" si="110"/>
        <v>430266</v>
      </c>
    </row>
    <row r="251" spans="1:13" x14ac:dyDescent="0.3">
      <c r="A251" s="325"/>
      <c r="B251" s="326"/>
      <c r="C251" s="35" t="s">
        <v>33</v>
      </c>
      <c r="D251" s="34">
        <f t="shared" ref="D251:M251" si="112">D185+D167+D147+D124+D100+D65+D36+D209</f>
        <v>1700000</v>
      </c>
      <c r="E251" s="34">
        <f t="shared" si="112"/>
        <v>1617372</v>
      </c>
      <c r="F251" s="34">
        <f t="shared" si="112"/>
        <v>444907</v>
      </c>
      <c r="G251" s="34">
        <f t="shared" si="112"/>
        <v>0</v>
      </c>
      <c r="H251" s="34">
        <f t="shared" si="112"/>
        <v>0</v>
      </c>
      <c r="I251" s="34">
        <f t="shared" si="112"/>
        <v>0</v>
      </c>
      <c r="J251" s="34">
        <f t="shared" ref="J251:K251" si="113">J185+J167+J147+J124+J100+J65+J36+J209</f>
        <v>0</v>
      </c>
      <c r="K251" s="34">
        <f t="shared" si="113"/>
        <v>0</v>
      </c>
      <c r="L251" s="34">
        <f t="shared" si="112"/>
        <v>2062279</v>
      </c>
      <c r="M251" s="34">
        <f t="shared" si="112"/>
        <v>1242441</v>
      </c>
    </row>
    <row r="252" spans="1:13" x14ac:dyDescent="0.3">
      <c r="A252" s="325"/>
      <c r="B252" s="326"/>
      <c r="C252" s="33" t="s">
        <v>34</v>
      </c>
      <c r="D252" s="34">
        <f t="shared" ref="D252:M252" si="114">D168+D148+D125+D101+D66+D37</f>
        <v>1036000</v>
      </c>
      <c r="E252" s="34">
        <f t="shared" si="114"/>
        <v>678000</v>
      </c>
      <c r="F252" s="34">
        <f t="shared" si="114"/>
        <v>0</v>
      </c>
      <c r="G252" s="34">
        <f t="shared" si="114"/>
        <v>0</v>
      </c>
      <c r="H252" s="34">
        <f t="shared" si="114"/>
        <v>0</v>
      </c>
      <c r="I252" s="34">
        <f t="shared" si="114"/>
        <v>0</v>
      </c>
      <c r="J252" s="34">
        <f t="shared" ref="J252:K252" si="115">J168+J148+J125+J101+J66+J37</f>
        <v>0</v>
      </c>
      <c r="K252" s="34">
        <f t="shared" si="115"/>
        <v>0</v>
      </c>
      <c r="L252" s="34">
        <f t="shared" si="114"/>
        <v>678000</v>
      </c>
      <c r="M252" s="34">
        <f t="shared" si="114"/>
        <v>253406</v>
      </c>
    </row>
    <row r="253" spans="1:13" x14ac:dyDescent="0.3">
      <c r="A253" s="325"/>
      <c r="B253" s="326"/>
      <c r="C253" s="33" t="s">
        <v>35</v>
      </c>
      <c r="D253" s="34">
        <f t="shared" ref="D253:M253" si="116">D210+D169+D102+D67+D38</f>
        <v>610000</v>
      </c>
      <c r="E253" s="34">
        <f t="shared" si="116"/>
        <v>527000</v>
      </c>
      <c r="F253" s="34">
        <f t="shared" si="116"/>
        <v>0</v>
      </c>
      <c r="G253" s="34">
        <f t="shared" si="116"/>
        <v>0</v>
      </c>
      <c r="H253" s="34">
        <f t="shared" si="116"/>
        <v>0</v>
      </c>
      <c r="I253" s="34">
        <f t="shared" si="116"/>
        <v>0</v>
      </c>
      <c r="J253" s="34">
        <f t="shared" ref="J253:K253" si="117">J210+J169+J102+J67+J38</f>
        <v>0</v>
      </c>
      <c r="K253" s="34">
        <f t="shared" si="117"/>
        <v>0</v>
      </c>
      <c r="L253" s="34">
        <f t="shared" si="116"/>
        <v>527000</v>
      </c>
      <c r="M253" s="34">
        <f t="shared" si="116"/>
        <v>224586</v>
      </c>
    </row>
    <row r="254" spans="1:13" x14ac:dyDescent="0.3">
      <c r="A254" s="325"/>
      <c r="B254" s="326"/>
      <c r="C254" s="33" t="s">
        <v>36</v>
      </c>
      <c r="D254" s="34">
        <f t="shared" ref="D254:M254" si="118">D103+D68+D39</f>
        <v>1739080</v>
      </c>
      <c r="E254" s="34">
        <f t="shared" si="118"/>
        <v>1738180</v>
      </c>
      <c r="F254" s="34">
        <f t="shared" si="118"/>
        <v>-54967</v>
      </c>
      <c r="G254" s="34">
        <f t="shared" si="118"/>
        <v>0</v>
      </c>
      <c r="H254" s="34">
        <f t="shared" si="118"/>
        <v>0</v>
      </c>
      <c r="I254" s="34">
        <f t="shared" si="118"/>
        <v>0</v>
      </c>
      <c r="J254" s="34">
        <f t="shared" ref="J254:K254" si="119">J103+J68+J39</f>
        <v>0</v>
      </c>
      <c r="K254" s="34">
        <f t="shared" si="119"/>
        <v>0</v>
      </c>
      <c r="L254" s="34">
        <f t="shared" si="118"/>
        <v>1683213</v>
      </c>
      <c r="M254" s="34">
        <f t="shared" si="118"/>
        <v>1516728</v>
      </c>
    </row>
    <row r="255" spans="1:13" x14ac:dyDescent="0.3">
      <c r="A255" s="325"/>
      <c r="B255" s="326"/>
      <c r="C255" s="38" t="s">
        <v>37</v>
      </c>
      <c r="D255" s="34">
        <f t="shared" ref="D255:M255" si="120">D186+D69+D40</f>
        <v>356000</v>
      </c>
      <c r="E255" s="34">
        <f t="shared" si="120"/>
        <v>356000</v>
      </c>
      <c r="F255" s="34">
        <f t="shared" si="120"/>
        <v>0</v>
      </c>
      <c r="G255" s="34">
        <f t="shared" si="120"/>
        <v>-37260</v>
      </c>
      <c r="H255" s="34">
        <f t="shared" si="120"/>
        <v>0</v>
      </c>
      <c r="I255" s="34">
        <f t="shared" si="120"/>
        <v>0</v>
      </c>
      <c r="J255" s="34">
        <f t="shared" ref="J255:K255" si="121">J186+J69+J40</f>
        <v>0</v>
      </c>
      <c r="K255" s="34">
        <f t="shared" si="121"/>
        <v>0</v>
      </c>
      <c r="L255" s="34">
        <f t="shared" si="120"/>
        <v>318740</v>
      </c>
      <c r="M255" s="34">
        <f t="shared" si="120"/>
        <v>138000</v>
      </c>
    </row>
    <row r="256" spans="1:13" x14ac:dyDescent="0.3">
      <c r="A256" s="325"/>
      <c r="B256" s="326"/>
      <c r="C256" s="33" t="s">
        <v>38</v>
      </c>
      <c r="D256" s="34">
        <f t="shared" ref="D256:M256" si="122">D170+D149+D126+D104+D70+D41+D211</f>
        <v>1394000</v>
      </c>
      <c r="E256" s="34">
        <f t="shared" si="122"/>
        <v>1362441</v>
      </c>
      <c r="F256" s="34">
        <f t="shared" si="122"/>
        <v>-91400</v>
      </c>
      <c r="G256" s="34">
        <f t="shared" si="122"/>
        <v>0</v>
      </c>
      <c r="H256" s="34">
        <f t="shared" si="122"/>
        <v>0</v>
      </c>
      <c r="I256" s="34">
        <f t="shared" si="122"/>
        <v>0</v>
      </c>
      <c r="J256" s="34">
        <f t="shared" ref="J256:K256" si="123">J170+J149+J126+J104+J70+J41+J211</f>
        <v>0</v>
      </c>
      <c r="K256" s="34">
        <f t="shared" si="123"/>
        <v>0</v>
      </c>
      <c r="L256" s="34">
        <f t="shared" si="122"/>
        <v>1271041</v>
      </c>
      <c r="M256" s="34">
        <f t="shared" si="122"/>
        <v>560493</v>
      </c>
    </row>
    <row r="257" spans="1:13" x14ac:dyDescent="0.3">
      <c r="A257" s="325"/>
      <c r="B257" s="326"/>
      <c r="C257" s="33" t="s">
        <v>39</v>
      </c>
      <c r="D257" s="34">
        <f t="shared" ref="D257:M257" si="124">D42</f>
        <v>13200</v>
      </c>
      <c r="E257" s="34">
        <f t="shared" si="124"/>
        <v>31926</v>
      </c>
      <c r="F257" s="34">
        <f t="shared" si="124"/>
        <v>0</v>
      </c>
      <c r="G257" s="34">
        <f t="shared" si="124"/>
        <v>0</v>
      </c>
      <c r="H257" s="34">
        <f t="shared" si="124"/>
        <v>0</v>
      </c>
      <c r="I257" s="34">
        <f t="shared" si="124"/>
        <v>-5724</v>
      </c>
      <c r="J257" s="34">
        <f t="shared" ref="J257:K257" si="125">J42</f>
        <v>0</v>
      </c>
      <c r="K257" s="34">
        <f t="shared" si="125"/>
        <v>0</v>
      </c>
      <c r="L257" s="34">
        <f t="shared" si="124"/>
        <v>26202</v>
      </c>
      <c r="M257" s="34">
        <f t="shared" si="124"/>
        <v>26202</v>
      </c>
    </row>
    <row r="258" spans="1:13" x14ac:dyDescent="0.3">
      <c r="A258" s="325"/>
      <c r="B258" s="326"/>
      <c r="C258" s="36" t="s">
        <v>40</v>
      </c>
      <c r="D258" s="34">
        <f t="shared" ref="D258:M258" si="126">D187+D171+D150+D127+D105+D71+D43</f>
        <v>16415104</v>
      </c>
      <c r="E258" s="34">
        <f t="shared" si="126"/>
        <v>16245068</v>
      </c>
      <c r="F258" s="34">
        <f t="shared" si="126"/>
        <v>-96600</v>
      </c>
      <c r="G258" s="34">
        <f t="shared" si="126"/>
        <v>-11297383</v>
      </c>
      <c r="H258" s="34">
        <f t="shared" si="126"/>
        <v>0</v>
      </c>
      <c r="I258" s="34">
        <f t="shared" si="126"/>
        <v>0</v>
      </c>
      <c r="J258" s="34">
        <f t="shared" ref="J258:K258" si="127">J187+J171+J150+J127+J105+J71+J43</f>
        <v>0</v>
      </c>
      <c r="K258" s="34">
        <f t="shared" si="127"/>
        <v>0</v>
      </c>
      <c r="L258" s="34">
        <f t="shared" si="126"/>
        <v>4851085</v>
      </c>
      <c r="M258" s="34">
        <f t="shared" si="126"/>
        <v>3044754</v>
      </c>
    </row>
    <row r="259" spans="1:13" x14ac:dyDescent="0.3">
      <c r="A259" s="325"/>
      <c r="B259" s="326"/>
      <c r="C259" s="33" t="s">
        <v>41</v>
      </c>
      <c r="D259" s="34">
        <f t="shared" ref="D259:M259" si="128">D188+D172+D151+D128+D106+D72+D44+D212</f>
        <v>26876743</v>
      </c>
      <c r="E259" s="34">
        <f t="shared" si="128"/>
        <v>15098455</v>
      </c>
      <c r="F259" s="34">
        <f t="shared" si="128"/>
        <v>654525</v>
      </c>
      <c r="G259" s="34">
        <f t="shared" si="128"/>
        <v>-6269063</v>
      </c>
      <c r="H259" s="34">
        <f t="shared" si="128"/>
        <v>0</v>
      </c>
      <c r="I259" s="34">
        <f t="shared" si="128"/>
        <v>-6880</v>
      </c>
      <c r="J259" s="34">
        <f t="shared" ref="J259:K259" si="129">J188+J172+J151+J128+J106+J72+J44+J212</f>
        <v>0</v>
      </c>
      <c r="K259" s="34">
        <f t="shared" si="129"/>
        <v>0</v>
      </c>
      <c r="L259" s="34">
        <f t="shared" si="128"/>
        <v>9477037</v>
      </c>
      <c r="M259" s="34">
        <f t="shared" si="128"/>
        <v>9264840</v>
      </c>
    </row>
    <row r="260" spans="1:13" x14ac:dyDescent="0.3">
      <c r="A260" s="325"/>
      <c r="B260" s="326"/>
      <c r="C260" s="35" t="s">
        <v>42</v>
      </c>
      <c r="D260" s="34">
        <f t="shared" ref="D260:M260" si="130">D213+D189+D173+D152+D129+D107+D73+D45</f>
        <v>2852000</v>
      </c>
      <c r="E260" s="34">
        <f t="shared" si="130"/>
        <v>2769440</v>
      </c>
      <c r="F260" s="34">
        <f t="shared" si="130"/>
        <v>-51740</v>
      </c>
      <c r="G260" s="34">
        <f t="shared" si="130"/>
        <v>-180800</v>
      </c>
      <c r="H260" s="34">
        <f t="shared" si="130"/>
        <v>0</v>
      </c>
      <c r="I260" s="34">
        <f t="shared" si="130"/>
        <v>0</v>
      </c>
      <c r="J260" s="34">
        <f t="shared" ref="J260:K260" si="131">J213+J189+J173+J152+J129+J107+J73+J45</f>
        <v>0</v>
      </c>
      <c r="K260" s="34">
        <f t="shared" si="131"/>
        <v>0</v>
      </c>
      <c r="L260" s="34">
        <f t="shared" si="130"/>
        <v>2536900</v>
      </c>
      <c r="M260" s="34">
        <f t="shared" si="130"/>
        <v>1733120</v>
      </c>
    </row>
    <row r="261" spans="1:13" x14ac:dyDescent="0.3">
      <c r="A261" s="325"/>
      <c r="B261" s="326"/>
      <c r="C261" s="35" t="s">
        <v>43</v>
      </c>
      <c r="D261" s="34">
        <f t="shared" ref="D261:M261" si="132">D46+D74+D190</f>
        <v>290000</v>
      </c>
      <c r="E261" s="34">
        <f t="shared" si="132"/>
        <v>290000</v>
      </c>
      <c r="F261" s="34">
        <f t="shared" si="132"/>
        <v>0</v>
      </c>
      <c r="G261" s="34">
        <f t="shared" si="132"/>
        <v>-230000</v>
      </c>
      <c r="H261" s="34">
        <f t="shared" si="132"/>
        <v>0</v>
      </c>
      <c r="I261" s="34">
        <f t="shared" si="132"/>
        <v>0</v>
      </c>
      <c r="J261" s="34">
        <f t="shared" ref="J261:K261" si="133">J46+J74+J190</f>
        <v>0</v>
      </c>
      <c r="K261" s="34">
        <f t="shared" si="133"/>
        <v>0</v>
      </c>
      <c r="L261" s="34">
        <f t="shared" si="132"/>
        <v>60000</v>
      </c>
      <c r="M261" s="34">
        <f t="shared" si="132"/>
        <v>0</v>
      </c>
    </row>
    <row r="262" spans="1:13" x14ac:dyDescent="0.3">
      <c r="A262" s="325"/>
      <c r="B262" s="326"/>
      <c r="C262" s="33" t="s">
        <v>44</v>
      </c>
      <c r="D262" s="34">
        <f t="shared" ref="D262:M262" si="134">D214+D191+D174+D153+D130+D108+D75+D47</f>
        <v>7754652</v>
      </c>
      <c r="E262" s="34">
        <f t="shared" si="134"/>
        <v>5346093</v>
      </c>
      <c r="F262" s="34">
        <f t="shared" si="134"/>
        <v>56155</v>
      </c>
      <c r="G262" s="34">
        <f t="shared" si="134"/>
        <v>-1873250</v>
      </c>
      <c r="H262" s="34">
        <f t="shared" si="134"/>
        <v>0</v>
      </c>
      <c r="I262" s="34">
        <f t="shared" si="134"/>
        <v>0</v>
      </c>
      <c r="J262" s="34">
        <f t="shared" ref="J262:K262" si="135">J214+J191+J174+J153+J130+J108+J75+J47</f>
        <v>0</v>
      </c>
      <c r="K262" s="34">
        <f t="shared" si="135"/>
        <v>0</v>
      </c>
      <c r="L262" s="34">
        <f t="shared" si="134"/>
        <v>3528998</v>
      </c>
      <c r="M262" s="34">
        <f t="shared" si="134"/>
        <v>2620355</v>
      </c>
    </row>
    <row r="263" spans="1:13" x14ac:dyDescent="0.3">
      <c r="A263" s="325"/>
      <c r="B263" s="326"/>
      <c r="C263" s="37" t="s">
        <v>45</v>
      </c>
      <c r="D263" s="34">
        <f t="shared" ref="D263:M263" si="136">D215+D192+D76+D48</f>
        <v>743011</v>
      </c>
      <c r="E263" s="34">
        <f t="shared" si="136"/>
        <v>793011</v>
      </c>
      <c r="F263" s="34">
        <f t="shared" si="136"/>
        <v>62771</v>
      </c>
      <c r="G263" s="34">
        <f t="shared" si="136"/>
        <v>-229990</v>
      </c>
      <c r="H263" s="34">
        <f t="shared" si="136"/>
        <v>0</v>
      </c>
      <c r="I263" s="34">
        <f t="shared" si="136"/>
        <v>0</v>
      </c>
      <c r="J263" s="34">
        <f t="shared" ref="J263:K263" si="137">J215+J192+J76+J48</f>
        <v>0</v>
      </c>
      <c r="K263" s="34">
        <f t="shared" si="137"/>
        <v>0</v>
      </c>
      <c r="L263" s="34">
        <f t="shared" si="136"/>
        <v>625792</v>
      </c>
      <c r="M263" s="34">
        <f t="shared" si="136"/>
        <v>415988</v>
      </c>
    </row>
    <row r="264" spans="1:13" x14ac:dyDescent="0.3">
      <c r="A264" s="325"/>
      <c r="B264" s="326"/>
      <c r="C264" s="63" t="s">
        <v>49</v>
      </c>
      <c r="D264" s="64">
        <f t="shared" ref="D264:M264" si="138">D216+D193+D175+D154+D131+D109+D77+D49</f>
        <v>62319790</v>
      </c>
      <c r="E264" s="64">
        <f t="shared" si="138"/>
        <v>47577240</v>
      </c>
      <c r="F264" s="64">
        <f t="shared" si="138"/>
        <v>980583</v>
      </c>
      <c r="G264" s="64">
        <f t="shared" si="138"/>
        <v>-20117746</v>
      </c>
      <c r="H264" s="64">
        <f t="shared" si="138"/>
        <v>0</v>
      </c>
      <c r="I264" s="64">
        <f t="shared" si="138"/>
        <v>-12604</v>
      </c>
      <c r="J264" s="64">
        <f t="shared" ref="J264:K264" si="139">J216+J193+J175+J154+J131+J109+J77+J49</f>
        <v>0</v>
      </c>
      <c r="K264" s="64">
        <f t="shared" si="139"/>
        <v>0</v>
      </c>
      <c r="L264" s="64">
        <f t="shared" si="138"/>
        <v>28427473</v>
      </c>
      <c r="M264" s="64">
        <f t="shared" si="138"/>
        <v>21471179</v>
      </c>
    </row>
    <row r="265" spans="1:13" x14ac:dyDescent="0.3">
      <c r="A265" s="325"/>
      <c r="B265" s="326"/>
      <c r="C265" s="63" t="s">
        <v>100</v>
      </c>
      <c r="D265" s="64">
        <f>D198</f>
        <v>0</v>
      </c>
      <c r="E265" s="64">
        <f t="shared" ref="E265:M265" si="140">E198</f>
        <v>10500000</v>
      </c>
      <c r="F265" s="64">
        <f t="shared" si="140"/>
        <v>0</v>
      </c>
      <c r="G265" s="64">
        <f t="shared" si="140"/>
        <v>0</v>
      </c>
      <c r="H265" s="64">
        <f t="shared" si="140"/>
        <v>0</v>
      </c>
      <c r="I265" s="64">
        <f t="shared" si="140"/>
        <v>0</v>
      </c>
      <c r="J265" s="64">
        <f t="shared" ref="J265:K265" si="141">J198</f>
        <v>0</v>
      </c>
      <c r="K265" s="64">
        <f t="shared" si="141"/>
        <v>0</v>
      </c>
      <c r="L265" s="64">
        <f t="shared" si="140"/>
        <v>10500000</v>
      </c>
      <c r="M265" s="64">
        <f t="shared" si="140"/>
        <v>10500000</v>
      </c>
    </row>
    <row r="266" spans="1:13" x14ac:dyDescent="0.3">
      <c r="A266" s="325"/>
      <c r="B266" s="326"/>
      <c r="C266" s="38" t="s">
        <v>50</v>
      </c>
      <c r="D266" s="34">
        <f t="shared" ref="D266:M268" si="142">D195+D78+D50</f>
        <v>161220</v>
      </c>
      <c r="E266" s="34">
        <f t="shared" si="142"/>
        <v>161220</v>
      </c>
      <c r="F266" s="34">
        <f t="shared" si="142"/>
        <v>0</v>
      </c>
      <c r="G266" s="34">
        <f t="shared" si="142"/>
        <v>0</v>
      </c>
      <c r="H266" s="34">
        <f t="shared" si="142"/>
        <v>0</v>
      </c>
      <c r="I266" s="34">
        <f t="shared" si="142"/>
        <v>0</v>
      </c>
      <c r="J266" s="34">
        <f t="shared" ref="J266:K266" si="143">J195+J78+J50</f>
        <v>0</v>
      </c>
      <c r="K266" s="34">
        <f t="shared" si="143"/>
        <v>0</v>
      </c>
      <c r="L266" s="34">
        <f t="shared" si="142"/>
        <v>161220</v>
      </c>
      <c r="M266" s="34">
        <f t="shared" si="142"/>
        <v>157480</v>
      </c>
    </row>
    <row r="267" spans="1:13" x14ac:dyDescent="0.3">
      <c r="A267" s="325"/>
      <c r="B267" s="326"/>
      <c r="C267" s="37" t="s">
        <v>51</v>
      </c>
      <c r="D267" s="34">
        <f t="shared" si="142"/>
        <v>43530</v>
      </c>
      <c r="E267" s="34">
        <f t="shared" si="142"/>
        <v>43530</v>
      </c>
      <c r="F267" s="34">
        <f t="shared" si="142"/>
        <v>0</v>
      </c>
      <c r="G267" s="34">
        <f t="shared" si="142"/>
        <v>0</v>
      </c>
      <c r="H267" s="34">
        <f t="shared" si="142"/>
        <v>0</v>
      </c>
      <c r="I267" s="34">
        <f t="shared" si="142"/>
        <v>0</v>
      </c>
      <c r="J267" s="34">
        <f t="shared" ref="J267:K267" si="144">J196+J79+J51</f>
        <v>0</v>
      </c>
      <c r="K267" s="34">
        <f t="shared" si="144"/>
        <v>0</v>
      </c>
      <c r="L267" s="34">
        <f t="shared" si="142"/>
        <v>43530</v>
      </c>
      <c r="M267" s="34">
        <f t="shared" si="142"/>
        <v>42520</v>
      </c>
    </row>
    <row r="268" spans="1:13" x14ac:dyDescent="0.3">
      <c r="A268" s="325"/>
      <c r="B268" s="326"/>
      <c r="C268" s="63" t="s">
        <v>52</v>
      </c>
      <c r="D268" s="66">
        <f t="shared" si="142"/>
        <v>204750</v>
      </c>
      <c r="E268" s="66">
        <f t="shared" si="142"/>
        <v>204750</v>
      </c>
      <c r="F268" s="66">
        <f t="shared" si="142"/>
        <v>0</v>
      </c>
      <c r="G268" s="66">
        <f t="shared" si="142"/>
        <v>0</v>
      </c>
      <c r="H268" s="66">
        <f t="shared" si="142"/>
        <v>0</v>
      </c>
      <c r="I268" s="66">
        <f t="shared" si="142"/>
        <v>0</v>
      </c>
      <c r="J268" s="66">
        <f t="shared" ref="J268:K268" si="145">J197+J80+J52</f>
        <v>0</v>
      </c>
      <c r="K268" s="66">
        <f t="shared" si="145"/>
        <v>0</v>
      </c>
      <c r="L268" s="66">
        <f t="shared" si="142"/>
        <v>204750</v>
      </c>
      <c r="M268" s="64">
        <f t="shared" si="142"/>
        <v>200000</v>
      </c>
    </row>
    <row r="269" spans="1:13" x14ac:dyDescent="0.3">
      <c r="A269" s="327"/>
      <c r="B269" s="328"/>
      <c r="C269" s="67" t="s">
        <v>88</v>
      </c>
      <c r="D269" s="68">
        <f>D220</f>
        <v>230443641</v>
      </c>
      <c r="E269" s="68">
        <f>E220</f>
        <v>230369755</v>
      </c>
      <c r="F269" s="68">
        <f t="shared" ref="F269:M269" si="146">F220</f>
        <v>0</v>
      </c>
      <c r="G269" s="68">
        <f t="shared" si="146"/>
        <v>-25298732</v>
      </c>
      <c r="H269" s="68">
        <f t="shared" si="146"/>
        <v>16016</v>
      </c>
      <c r="I269" s="68">
        <f t="shared" si="146"/>
        <v>-12604</v>
      </c>
      <c r="J269" s="68">
        <f t="shared" ref="J269:K269" si="147">J220</f>
        <v>-4692</v>
      </c>
      <c r="K269" s="68">
        <f t="shared" si="147"/>
        <v>-42719</v>
      </c>
      <c r="L269" s="68">
        <f t="shared" si="146"/>
        <v>205027024</v>
      </c>
      <c r="M269" s="68">
        <f t="shared" si="146"/>
        <v>192920677</v>
      </c>
    </row>
    <row r="270" spans="1:13" x14ac:dyDescent="0.3">
      <c r="B270" s="5"/>
      <c r="E270" s="4"/>
      <c r="F270" s="4"/>
      <c r="G270" s="4"/>
      <c r="H270" s="4"/>
      <c r="I270" s="4"/>
      <c r="J270" s="4"/>
      <c r="K270" s="4"/>
      <c r="L270" s="4"/>
      <c r="M270" s="107"/>
    </row>
    <row r="271" spans="1:13" x14ac:dyDescent="0.3">
      <c r="B271" s="5"/>
      <c r="E271" s="4"/>
      <c r="F271" s="4"/>
      <c r="G271" s="4"/>
      <c r="H271" s="4"/>
      <c r="I271" s="4"/>
      <c r="J271" s="4"/>
      <c r="K271" s="4"/>
      <c r="L271" s="4"/>
      <c r="M271" s="107"/>
    </row>
    <row r="273" spans="1:6" x14ac:dyDescent="0.3">
      <c r="B273" s="5"/>
      <c r="E273" s="4"/>
      <c r="F273" s="4"/>
    </row>
    <row r="274" spans="1:6" x14ac:dyDescent="0.3">
      <c r="A274" s="136" t="s">
        <v>125</v>
      </c>
      <c r="B274" s="136"/>
      <c r="C274" s="136"/>
      <c r="D274" s="136"/>
      <c r="E274" s="136"/>
      <c r="F274" s="136"/>
    </row>
    <row r="275" spans="1:6" x14ac:dyDescent="0.3">
      <c r="A275" s="137"/>
      <c r="B275" s="137"/>
      <c r="C275" s="137"/>
      <c r="D275" s="138"/>
      <c r="E275" s="138"/>
      <c r="F275" s="139"/>
    </row>
    <row r="276" spans="1:6" x14ac:dyDescent="0.3">
      <c r="A276" s="136" t="s">
        <v>169</v>
      </c>
      <c r="B276" s="136"/>
      <c r="C276" s="136"/>
      <c r="D276" s="136"/>
      <c r="E276" s="140"/>
      <c r="F276" s="139">
        <f>H8+K8</f>
        <v>-26703</v>
      </c>
    </row>
    <row r="277" spans="1:6" x14ac:dyDescent="0.3">
      <c r="A277" s="136" t="s">
        <v>170</v>
      </c>
      <c r="B277" s="136"/>
      <c r="C277" s="136"/>
      <c r="D277" s="136"/>
      <c r="E277" s="140"/>
      <c r="F277" s="139">
        <f>J8</f>
        <v>-4692</v>
      </c>
    </row>
    <row r="278" spans="1:6" x14ac:dyDescent="0.3">
      <c r="A278" s="136" t="s">
        <v>128</v>
      </c>
      <c r="B278" s="136"/>
      <c r="C278" s="136"/>
      <c r="D278" s="136"/>
      <c r="E278" s="140"/>
      <c r="F278" s="139">
        <v>0</v>
      </c>
    </row>
    <row r="279" spans="1:6" x14ac:dyDescent="0.3">
      <c r="A279" s="368" t="s">
        <v>184</v>
      </c>
      <c r="B279" s="368"/>
      <c r="C279" s="368"/>
      <c r="D279" s="368"/>
      <c r="E279" s="140"/>
      <c r="F279" s="139">
        <f>G23</f>
        <v>-25298732</v>
      </c>
    </row>
    <row r="280" spans="1:6" x14ac:dyDescent="0.3">
      <c r="A280" s="368" t="s">
        <v>130</v>
      </c>
      <c r="B280" s="368"/>
      <c r="C280" s="368"/>
      <c r="D280" s="368"/>
      <c r="E280" s="140"/>
      <c r="F280" s="139">
        <v>0</v>
      </c>
    </row>
    <row r="281" spans="1:6" x14ac:dyDescent="0.3">
      <c r="A281" s="136" t="s">
        <v>131</v>
      </c>
      <c r="B281" s="136"/>
      <c r="C281" s="136"/>
      <c r="D281" s="136"/>
      <c r="E281" s="140"/>
      <c r="F281" s="139">
        <v>0</v>
      </c>
    </row>
    <row r="282" spans="1:6" x14ac:dyDescent="0.3">
      <c r="A282" s="140" t="s">
        <v>132</v>
      </c>
      <c r="B282" s="140"/>
      <c r="C282" s="140"/>
      <c r="D282" s="140"/>
      <c r="E282" s="140"/>
      <c r="F282" s="139">
        <v>0</v>
      </c>
    </row>
    <row r="283" spans="1:6" x14ac:dyDescent="0.3">
      <c r="A283" s="368" t="s">
        <v>133</v>
      </c>
      <c r="B283" s="368"/>
      <c r="C283" s="368"/>
      <c r="D283" s="368"/>
      <c r="E283" s="140"/>
      <c r="F283" s="139">
        <f>I10+I11+I12</f>
        <v>-12604</v>
      </c>
    </row>
    <row r="284" spans="1:6" x14ac:dyDescent="0.3">
      <c r="A284" s="141" t="s">
        <v>134</v>
      </c>
      <c r="B284" s="141"/>
      <c r="C284" s="141"/>
      <c r="D284" s="141"/>
      <c r="E284" s="141"/>
      <c r="F284" s="142">
        <v>0</v>
      </c>
    </row>
    <row r="285" spans="1:6" x14ac:dyDescent="0.3">
      <c r="A285" s="368" t="s">
        <v>135</v>
      </c>
      <c r="B285" s="368"/>
      <c r="C285" s="368"/>
      <c r="D285" s="368"/>
      <c r="E285" s="140"/>
      <c r="F285" s="139">
        <f>SUM(F276:F284)</f>
        <v>-25342731</v>
      </c>
    </row>
    <row r="286" spans="1:6" x14ac:dyDescent="0.3">
      <c r="A286" s="370"/>
      <c r="B286" s="370"/>
      <c r="C286" s="370"/>
      <c r="D286" s="370"/>
      <c r="E286" s="370"/>
      <c r="F286" s="370"/>
    </row>
    <row r="287" spans="1:6" x14ac:dyDescent="0.3">
      <c r="A287" s="370"/>
      <c r="B287" s="370"/>
      <c r="C287" s="370"/>
      <c r="D287" s="370"/>
      <c r="E287" s="370"/>
      <c r="F287" s="370"/>
    </row>
    <row r="288" spans="1:6" x14ac:dyDescent="0.3">
      <c r="A288" s="370"/>
      <c r="B288" s="370"/>
      <c r="C288" s="370"/>
      <c r="D288" s="370"/>
      <c r="E288" s="370"/>
      <c r="F288" s="370"/>
    </row>
    <row r="289" spans="1:6" x14ac:dyDescent="0.3">
      <c r="A289" s="368" t="s">
        <v>136</v>
      </c>
      <c r="B289" s="368"/>
      <c r="C289" s="368"/>
      <c r="D289" s="368"/>
      <c r="E289" s="368"/>
      <c r="F289" s="368"/>
    </row>
    <row r="290" spans="1:6" x14ac:dyDescent="0.3">
      <c r="A290" s="370"/>
      <c r="B290" s="370"/>
      <c r="C290" s="370"/>
      <c r="D290" s="370"/>
      <c r="E290" s="370"/>
      <c r="F290" s="370"/>
    </row>
    <row r="291" spans="1:6" x14ac:dyDescent="0.3">
      <c r="A291" s="368" t="s">
        <v>137</v>
      </c>
      <c r="B291" s="368"/>
      <c r="C291" s="368"/>
      <c r="D291" s="368"/>
      <c r="E291" s="140"/>
      <c r="F291" s="139">
        <v>0</v>
      </c>
    </row>
    <row r="292" spans="1:6" x14ac:dyDescent="0.3">
      <c r="A292" s="140" t="s">
        <v>138</v>
      </c>
      <c r="B292" s="140"/>
      <c r="C292" s="140"/>
      <c r="D292" s="140"/>
      <c r="E292" s="140"/>
      <c r="F292" s="139">
        <v>0</v>
      </c>
    </row>
    <row r="293" spans="1:6" x14ac:dyDescent="0.3">
      <c r="A293" s="368" t="s">
        <v>139</v>
      </c>
      <c r="B293" s="368"/>
      <c r="C293" s="368"/>
      <c r="D293" s="368"/>
      <c r="E293" s="140"/>
      <c r="F293" s="139">
        <f>K217+G181+K178+H87+J81+K85+K87</f>
        <v>-2983034</v>
      </c>
    </row>
    <row r="294" spans="1:6" x14ac:dyDescent="0.3">
      <c r="A294" s="368" t="s">
        <v>140</v>
      </c>
      <c r="B294" s="368"/>
      <c r="C294" s="368"/>
      <c r="D294" s="368"/>
      <c r="E294" s="140"/>
      <c r="F294" s="139">
        <f>K218+G184+K156+J133+K113+J111+H88+K88+K86+J84+J82</f>
        <v>-2229347</v>
      </c>
    </row>
    <row r="295" spans="1:6" x14ac:dyDescent="0.3">
      <c r="A295" s="368" t="s">
        <v>141</v>
      </c>
      <c r="B295" s="368"/>
      <c r="C295" s="368"/>
      <c r="D295" s="368"/>
      <c r="E295" s="140"/>
      <c r="F295" s="139">
        <f>G192+G191+G190+G189+G188+G187+G186+I72+I42</f>
        <v>-20130350</v>
      </c>
    </row>
    <row r="296" spans="1:6" x14ac:dyDescent="0.3">
      <c r="A296" s="140" t="s">
        <v>142</v>
      </c>
      <c r="B296" s="140"/>
      <c r="C296" s="140"/>
      <c r="D296" s="140"/>
      <c r="E296" s="140"/>
      <c r="F296" s="139">
        <v>0</v>
      </c>
    </row>
    <row r="297" spans="1:6" x14ac:dyDescent="0.3">
      <c r="A297" s="140" t="s">
        <v>143</v>
      </c>
      <c r="B297" s="140"/>
      <c r="C297" s="140"/>
      <c r="D297" s="140"/>
      <c r="E297" s="140"/>
      <c r="F297" s="139">
        <v>0</v>
      </c>
    </row>
    <row r="298" spans="1:6" x14ac:dyDescent="0.3">
      <c r="A298" s="143" t="s">
        <v>144</v>
      </c>
      <c r="B298" s="143"/>
      <c r="C298" s="143"/>
      <c r="D298" s="144"/>
      <c r="E298" s="144"/>
      <c r="F298" s="145">
        <v>0</v>
      </c>
    </row>
    <row r="299" spans="1:6" x14ac:dyDescent="0.3">
      <c r="A299" s="369" t="s">
        <v>135</v>
      </c>
      <c r="B299" s="369"/>
      <c r="C299" s="369"/>
      <c r="D299" s="369"/>
      <c r="E299" s="140"/>
      <c r="F299" s="139">
        <f>SUM(F291:F298)</f>
        <v>-25342731</v>
      </c>
    </row>
    <row r="300" spans="1:6" x14ac:dyDescent="0.3">
      <c r="A300" s="140"/>
      <c r="B300" s="136"/>
      <c r="C300" s="146"/>
      <c r="D300" s="138"/>
      <c r="E300" s="138"/>
      <c r="F300" s="139"/>
    </row>
    <row r="301" spans="1:6" x14ac:dyDescent="0.3">
      <c r="A301" s="368" t="s">
        <v>145</v>
      </c>
      <c r="B301" s="368"/>
      <c r="C301" s="368"/>
      <c r="D301" s="368"/>
      <c r="E301" s="368"/>
      <c r="F301" s="368"/>
    </row>
    <row r="302" spans="1:6" x14ac:dyDescent="0.3">
      <c r="A302" s="137"/>
      <c r="B302" s="137"/>
      <c r="C302" s="137"/>
      <c r="D302" s="138"/>
      <c r="E302" s="138"/>
      <c r="F302" s="139"/>
    </row>
    <row r="303" spans="1:6" x14ac:dyDescent="0.3">
      <c r="A303" s="136" t="s">
        <v>126</v>
      </c>
      <c r="B303" s="136"/>
      <c r="C303" s="136"/>
      <c r="D303" s="136"/>
      <c r="E303" s="140"/>
      <c r="F303" s="139">
        <v>0</v>
      </c>
    </row>
    <row r="304" spans="1:6" x14ac:dyDescent="0.3">
      <c r="A304" s="368" t="s">
        <v>127</v>
      </c>
      <c r="B304" s="368"/>
      <c r="C304" s="368"/>
      <c r="D304" s="368"/>
      <c r="E304" s="140"/>
      <c r="F304" s="139">
        <v>0</v>
      </c>
    </row>
    <row r="305" spans="1:6" x14ac:dyDescent="0.3">
      <c r="A305" s="136" t="s">
        <v>128</v>
      </c>
      <c r="B305" s="140"/>
      <c r="C305" s="140"/>
      <c r="D305" s="140"/>
      <c r="E305" s="140"/>
      <c r="F305" s="139">
        <v>0</v>
      </c>
    </row>
    <row r="306" spans="1:6" x14ac:dyDescent="0.3">
      <c r="A306" s="368" t="s">
        <v>129</v>
      </c>
      <c r="B306" s="368"/>
      <c r="C306" s="368"/>
      <c r="D306" s="368"/>
      <c r="E306" s="140"/>
      <c r="F306" s="139">
        <v>0</v>
      </c>
    </row>
    <row r="307" spans="1:6" x14ac:dyDescent="0.3">
      <c r="A307" s="368" t="s">
        <v>146</v>
      </c>
      <c r="B307" s="368"/>
      <c r="C307" s="368"/>
      <c r="D307" s="368"/>
      <c r="E307" s="140"/>
      <c r="F307" s="139">
        <v>0</v>
      </c>
    </row>
    <row r="308" spans="1:6" x14ac:dyDescent="0.3">
      <c r="A308" s="136" t="s">
        <v>147</v>
      </c>
      <c r="B308" s="136"/>
      <c r="C308" s="136"/>
      <c r="D308" s="136"/>
      <c r="E308" s="140"/>
      <c r="F308" s="139">
        <v>0</v>
      </c>
    </row>
    <row r="309" spans="1:6" x14ac:dyDescent="0.3">
      <c r="A309" s="140" t="s">
        <v>132</v>
      </c>
      <c r="B309" s="140"/>
      <c r="C309" s="140"/>
      <c r="D309" s="140"/>
      <c r="E309" s="140"/>
      <c r="F309" s="139">
        <v>0</v>
      </c>
    </row>
    <row r="310" spans="1:6" x14ac:dyDescent="0.3">
      <c r="A310" s="371" t="s">
        <v>133</v>
      </c>
      <c r="B310" s="371"/>
      <c r="C310" s="371"/>
      <c r="D310" s="371"/>
      <c r="E310" s="141"/>
      <c r="F310" s="142">
        <f>F14+F13+F12+F11</f>
        <v>0</v>
      </c>
    </row>
    <row r="311" spans="1:6" x14ac:dyDescent="0.3">
      <c r="A311" s="369" t="s">
        <v>135</v>
      </c>
      <c r="B311" s="369"/>
      <c r="C311" s="369"/>
      <c r="D311" s="369"/>
      <c r="E311" s="140"/>
      <c r="F311" s="139">
        <f>SUM(F303:F310)</f>
        <v>0</v>
      </c>
    </row>
    <row r="312" spans="1:6" x14ac:dyDescent="0.3">
      <c r="A312" s="370"/>
      <c r="B312" s="370"/>
      <c r="C312" s="370"/>
      <c r="D312" s="370"/>
      <c r="E312" s="370"/>
      <c r="F312" s="370"/>
    </row>
    <row r="313" spans="1:6" x14ac:dyDescent="0.3">
      <c r="A313" s="370"/>
      <c r="B313" s="370"/>
      <c r="C313" s="370"/>
      <c r="D313" s="370"/>
      <c r="E313" s="370"/>
      <c r="F313" s="370"/>
    </row>
    <row r="314" spans="1:6" x14ac:dyDescent="0.3">
      <c r="A314" s="370"/>
      <c r="B314" s="370"/>
      <c r="C314" s="370"/>
      <c r="D314" s="370"/>
      <c r="E314" s="370"/>
      <c r="F314" s="370"/>
    </row>
    <row r="315" spans="1:6" x14ac:dyDescent="0.3">
      <c r="A315" s="368" t="s">
        <v>148</v>
      </c>
      <c r="B315" s="368"/>
      <c r="C315" s="368"/>
      <c r="D315" s="368"/>
      <c r="E315" s="368"/>
      <c r="F315" s="368"/>
    </row>
    <row r="316" spans="1:6" x14ac:dyDescent="0.3">
      <c r="A316" s="370"/>
      <c r="B316" s="370"/>
      <c r="C316" s="370"/>
      <c r="D316" s="370"/>
      <c r="E316" s="370"/>
      <c r="F316" s="370"/>
    </row>
    <row r="317" spans="1:6" x14ac:dyDescent="0.3">
      <c r="A317" s="368" t="s">
        <v>137</v>
      </c>
      <c r="B317" s="368"/>
      <c r="C317" s="368"/>
      <c r="D317" s="368"/>
      <c r="E317" s="140"/>
      <c r="F317" s="139">
        <v>0</v>
      </c>
    </row>
    <row r="318" spans="1:6" x14ac:dyDescent="0.3">
      <c r="A318" s="140" t="s">
        <v>138</v>
      </c>
      <c r="B318" s="140"/>
      <c r="C318" s="140"/>
      <c r="D318" s="140"/>
      <c r="E318" s="140"/>
      <c r="F318" s="139">
        <v>0</v>
      </c>
    </row>
    <row r="319" spans="1:6" x14ac:dyDescent="0.3">
      <c r="A319" s="368" t="s">
        <v>139</v>
      </c>
      <c r="B319" s="368"/>
      <c r="C319" s="368"/>
      <c r="D319" s="368"/>
      <c r="E319" s="140"/>
      <c r="F319" s="139">
        <f>F205+F203+F201+F162+F159+F158+F142+F138+F137+F119+F116+F115+F95+F93+F91+F90+F60+F58+F56+F53+F32+F31+F29+F27+F26</f>
        <v>-949790</v>
      </c>
    </row>
    <row r="320" spans="1:6" x14ac:dyDescent="0.3">
      <c r="A320" s="368" t="s">
        <v>140</v>
      </c>
      <c r="B320" s="368"/>
      <c r="C320" s="368"/>
      <c r="D320" s="368"/>
      <c r="E320" s="140"/>
      <c r="F320" s="139">
        <f>F98</f>
        <v>-30793</v>
      </c>
    </row>
    <row r="321" spans="1:6" x14ac:dyDescent="0.3">
      <c r="A321" s="368" t="s">
        <v>141</v>
      </c>
      <c r="B321" s="368"/>
      <c r="C321" s="368"/>
      <c r="D321" s="368"/>
      <c r="E321" s="140"/>
      <c r="F321" s="139">
        <f>F215+F214+F209+F208+F173+F172+F128+F108+F107+F106+F105+F104+F103+F100+F99+F71+F44+F43+F72+F76</f>
        <v>980583</v>
      </c>
    </row>
    <row r="322" spans="1:6" x14ac:dyDescent="0.3">
      <c r="A322" s="140" t="s">
        <v>149</v>
      </c>
      <c r="B322" s="140"/>
      <c r="C322" s="140"/>
      <c r="D322" s="140"/>
      <c r="E322" s="140"/>
      <c r="F322" s="139">
        <v>0</v>
      </c>
    </row>
    <row r="323" spans="1:6" x14ac:dyDescent="0.3">
      <c r="A323" s="140" t="s">
        <v>150</v>
      </c>
      <c r="B323" s="140"/>
      <c r="C323" s="140"/>
      <c r="D323" s="140"/>
      <c r="E323" s="140"/>
      <c r="F323" s="139">
        <v>0</v>
      </c>
    </row>
    <row r="324" spans="1:6" x14ac:dyDescent="0.3">
      <c r="A324" s="143" t="s">
        <v>144</v>
      </c>
      <c r="B324" s="143"/>
      <c r="C324" s="143"/>
      <c r="D324" s="144"/>
      <c r="E324" s="144"/>
      <c r="F324" s="145">
        <v>0</v>
      </c>
    </row>
    <row r="325" spans="1:6" x14ac:dyDescent="0.3">
      <c r="A325" s="369" t="s">
        <v>135</v>
      </c>
      <c r="B325" s="369"/>
      <c r="C325" s="369"/>
      <c r="D325" s="369"/>
      <c r="E325" s="140"/>
      <c r="F325" s="139">
        <f>SUM(F317:F324)</f>
        <v>0</v>
      </c>
    </row>
    <row r="326" spans="1:6" x14ac:dyDescent="0.3">
      <c r="A326" s="147"/>
      <c r="B326" s="148"/>
      <c r="C326" s="149"/>
      <c r="D326" s="150"/>
      <c r="E326" s="150"/>
      <c r="F326" s="151"/>
    </row>
    <row r="327" spans="1:6" x14ac:dyDescent="0.3">
      <c r="A327" s="147"/>
      <c r="B327" s="148"/>
      <c r="C327" s="149"/>
      <c r="D327" s="150"/>
      <c r="E327" s="150"/>
      <c r="F327" s="151"/>
    </row>
    <row r="328" spans="1:6" x14ac:dyDescent="0.3">
      <c r="A328" s="365" t="s">
        <v>151</v>
      </c>
      <c r="B328" s="365"/>
      <c r="C328" s="365"/>
      <c r="D328" s="365"/>
      <c r="E328" s="365"/>
      <c r="F328" s="365"/>
    </row>
    <row r="329" spans="1:6" x14ac:dyDescent="0.3">
      <c r="A329" s="367"/>
      <c r="B329" s="367"/>
      <c r="C329" s="367"/>
      <c r="D329" s="367"/>
      <c r="E329" s="367"/>
      <c r="F329" s="367"/>
    </row>
    <row r="330" spans="1:6" x14ac:dyDescent="0.3">
      <c r="A330" s="152"/>
      <c r="B330" s="152"/>
      <c r="C330" s="152"/>
      <c r="D330" s="153"/>
      <c r="E330" s="153"/>
      <c r="F330" s="154"/>
    </row>
    <row r="331" spans="1:6" x14ac:dyDescent="0.3">
      <c r="A331" s="155" t="s">
        <v>171</v>
      </c>
      <c r="B331" s="156"/>
      <c r="C331" s="156"/>
      <c r="D331" s="156"/>
      <c r="E331" s="156"/>
      <c r="F331" s="154">
        <f>SUM(F276,F303)</f>
        <v>-26703</v>
      </c>
    </row>
    <row r="332" spans="1:6" x14ac:dyDescent="0.3">
      <c r="A332" s="155" t="s">
        <v>170</v>
      </c>
      <c r="B332" s="156"/>
      <c r="C332" s="156"/>
      <c r="D332" s="156"/>
      <c r="E332" s="155"/>
      <c r="F332" s="154">
        <f>SUM(F277,F304)</f>
        <v>-4692</v>
      </c>
    </row>
    <row r="333" spans="1:6" x14ac:dyDescent="0.3">
      <c r="A333" s="365" t="s">
        <v>152</v>
      </c>
      <c r="B333" s="365"/>
      <c r="C333" s="365"/>
      <c r="D333" s="365"/>
      <c r="E333" s="155"/>
      <c r="F333" s="154">
        <f>SUM(F278,F305)</f>
        <v>0</v>
      </c>
    </row>
    <row r="334" spans="1:6" x14ac:dyDescent="0.3">
      <c r="A334" s="365" t="s">
        <v>153</v>
      </c>
      <c r="B334" s="365"/>
      <c r="C334" s="365"/>
      <c r="D334" s="365"/>
      <c r="E334" s="155"/>
      <c r="F334" s="154">
        <f>F279+F306</f>
        <v>-25298732</v>
      </c>
    </row>
    <row r="335" spans="1:6" x14ac:dyDescent="0.3">
      <c r="A335" s="365" t="s">
        <v>154</v>
      </c>
      <c r="B335" s="365"/>
      <c r="C335" s="365"/>
      <c r="D335" s="365"/>
      <c r="E335" s="155"/>
      <c r="F335" s="154">
        <f>F280+F307</f>
        <v>0</v>
      </c>
    </row>
    <row r="336" spans="1:6" x14ac:dyDescent="0.3">
      <c r="A336" s="156" t="s">
        <v>147</v>
      </c>
      <c r="B336" s="156"/>
      <c r="C336" s="156"/>
      <c r="D336" s="156"/>
      <c r="E336" s="155"/>
      <c r="F336" s="154">
        <f>SUM(F308,F281)</f>
        <v>0</v>
      </c>
    </row>
    <row r="337" spans="1:6" x14ac:dyDescent="0.3">
      <c r="A337" s="155" t="s">
        <v>132</v>
      </c>
      <c r="B337" s="155"/>
      <c r="C337" s="155"/>
      <c r="D337" s="155"/>
      <c r="E337" s="155"/>
      <c r="F337" s="154">
        <f>F309+F282</f>
        <v>0</v>
      </c>
    </row>
    <row r="338" spans="1:6" x14ac:dyDescent="0.3">
      <c r="A338" s="365" t="s">
        <v>133</v>
      </c>
      <c r="B338" s="365"/>
      <c r="C338" s="365"/>
      <c r="D338" s="365"/>
      <c r="E338" s="155"/>
      <c r="F338" s="154">
        <f>F310+F283</f>
        <v>-12604</v>
      </c>
    </row>
    <row r="339" spans="1:6" x14ac:dyDescent="0.3">
      <c r="A339" s="157" t="s">
        <v>134</v>
      </c>
      <c r="B339" s="157"/>
      <c r="C339" s="157"/>
      <c r="D339" s="157"/>
      <c r="E339" s="157"/>
      <c r="F339" s="158">
        <f>F284</f>
        <v>0</v>
      </c>
    </row>
    <row r="340" spans="1:6" x14ac:dyDescent="0.3">
      <c r="A340" s="365" t="s">
        <v>135</v>
      </c>
      <c r="B340" s="365"/>
      <c r="C340" s="365"/>
      <c r="D340" s="365"/>
      <c r="E340" s="155"/>
      <c r="F340" s="154">
        <f>SUM(F331:F339)</f>
        <v>-25342731</v>
      </c>
    </row>
    <row r="341" spans="1:6" x14ac:dyDescent="0.3">
      <c r="A341" s="155"/>
      <c r="B341" s="155"/>
      <c r="C341" s="155"/>
      <c r="D341" s="155"/>
      <c r="E341" s="155"/>
      <c r="F341" s="154"/>
    </row>
    <row r="342" spans="1:6" x14ac:dyDescent="0.3">
      <c r="A342" s="155"/>
      <c r="B342" s="155"/>
      <c r="C342" s="155"/>
      <c r="D342" s="155"/>
      <c r="E342" s="155"/>
      <c r="F342" s="154"/>
    </row>
    <row r="343" spans="1:6" x14ac:dyDescent="0.3">
      <c r="A343" s="367"/>
      <c r="B343" s="367"/>
      <c r="C343" s="367"/>
      <c r="D343" s="367"/>
      <c r="E343" s="367"/>
      <c r="F343" s="367"/>
    </row>
    <row r="344" spans="1:6" x14ac:dyDescent="0.3">
      <c r="A344" s="365" t="s">
        <v>155</v>
      </c>
      <c r="B344" s="365"/>
      <c r="C344" s="365"/>
      <c r="D344" s="365"/>
      <c r="E344" s="365"/>
      <c r="F344" s="365"/>
    </row>
    <row r="345" spans="1:6" x14ac:dyDescent="0.3">
      <c r="A345" s="367"/>
      <c r="B345" s="367"/>
      <c r="C345" s="367"/>
      <c r="D345" s="367"/>
      <c r="E345" s="367"/>
      <c r="F345" s="367"/>
    </row>
    <row r="346" spans="1:6" x14ac:dyDescent="0.3">
      <c r="A346" s="365" t="s">
        <v>137</v>
      </c>
      <c r="B346" s="365"/>
      <c r="C346" s="365"/>
      <c r="D346" s="365"/>
      <c r="E346" s="155"/>
      <c r="F346" s="154">
        <v>0</v>
      </c>
    </row>
    <row r="347" spans="1:6" x14ac:dyDescent="0.3">
      <c r="A347" s="155" t="s">
        <v>138</v>
      </c>
      <c r="B347" s="155"/>
      <c r="C347" s="155"/>
      <c r="D347" s="155"/>
      <c r="E347" s="155"/>
      <c r="F347" s="154">
        <f>F318+F292</f>
        <v>0</v>
      </c>
    </row>
    <row r="348" spans="1:6" x14ac:dyDescent="0.3">
      <c r="A348" s="365" t="s">
        <v>139</v>
      </c>
      <c r="B348" s="365"/>
      <c r="C348" s="365"/>
      <c r="D348" s="365"/>
      <c r="E348" s="155"/>
      <c r="F348" s="154">
        <f>F319+F293</f>
        <v>-3932824</v>
      </c>
    </row>
    <row r="349" spans="1:6" x14ac:dyDescent="0.3">
      <c r="A349" s="365" t="s">
        <v>140</v>
      </c>
      <c r="B349" s="365"/>
      <c r="C349" s="365"/>
      <c r="D349" s="365"/>
      <c r="E349" s="155"/>
      <c r="F349" s="154">
        <f>F320+F294</f>
        <v>-2260140</v>
      </c>
    </row>
    <row r="350" spans="1:6" x14ac:dyDescent="0.3">
      <c r="A350" s="365" t="s">
        <v>141</v>
      </c>
      <c r="B350" s="365"/>
      <c r="C350" s="365"/>
      <c r="D350" s="365"/>
      <c r="E350" s="155"/>
      <c r="F350" s="154">
        <f>F321+F295</f>
        <v>-19149767</v>
      </c>
    </row>
    <row r="351" spans="1:6" x14ac:dyDescent="0.3">
      <c r="A351" s="155" t="s">
        <v>149</v>
      </c>
      <c r="B351" s="155"/>
      <c r="C351" s="155"/>
      <c r="D351" s="155"/>
      <c r="E351" s="155"/>
      <c r="F351" s="154">
        <f>SUM(F322,F296)</f>
        <v>0</v>
      </c>
    </row>
    <row r="352" spans="1:6" x14ac:dyDescent="0.3">
      <c r="A352" s="155" t="s">
        <v>150</v>
      </c>
      <c r="B352" s="155"/>
      <c r="C352" s="155"/>
      <c r="D352" s="155"/>
      <c r="E352" s="155"/>
      <c r="F352" s="154">
        <f>SUM(F323)</f>
        <v>0</v>
      </c>
    </row>
    <row r="353" spans="1:6" x14ac:dyDescent="0.3">
      <c r="A353" s="159" t="s">
        <v>144</v>
      </c>
      <c r="B353" s="159"/>
      <c r="C353" s="159"/>
      <c r="D353" s="160"/>
      <c r="E353" s="160"/>
      <c r="F353" s="161">
        <f>F324+F298</f>
        <v>0</v>
      </c>
    </row>
    <row r="354" spans="1:6" x14ac:dyDescent="0.3">
      <c r="A354" s="366" t="s">
        <v>135</v>
      </c>
      <c r="B354" s="366"/>
      <c r="C354" s="366"/>
      <c r="D354" s="366"/>
      <c r="E354" s="155"/>
      <c r="F354" s="154">
        <f>SUM(F346:F353)</f>
        <v>-25342731</v>
      </c>
    </row>
  </sheetData>
  <mergeCells count="115">
    <mergeCell ref="A228:B269"/>
    <mergeCell ref="A180:C180"/>
    <mergeCell ref="A181:A198"/>
    <mergeCell ref="B181:B198"/>
    <mergeCell ref="A199:C199"/>
    <mergeCell ref="A200:A216"/>
    <mergeCell ref="B200:B216"/>
    <mergeCell ref="A217:A218"/>
    <mergeCell ref="B217:B218"/>
    <mergeCell ref="A219:C219"/>
    <mergeCell ref="A220:C220"/>
    <mergeCell ref="B112:B113"/>
    <mergeCell ref="A114:C114"/>
    <mergeCell ref="A115:A131"/>
    <mergeCell ref="B115:B131"/>
    <mergeCell ref="A227:M227"/>
    <mergeCell ref="A178:A179"/>
    <mergeCell ref="B178:B179"/>
    <mergeCell ref="A134:A135"/>
    <mergeCell ref="B134:B135"/>
    <mergeCell ref="A136:C136"/>
    <mergeCell ref="A137:A154"/>
    <mergeCell ref="A157:C157"/>
    <mergeCell ref="A158:A175"/>
    <mergeCell ref="B158:B175"/>
    <mergeCell ref="A176:A177"/>
    <mergeCell ref="B176:B177"/>
    <mergeCell ref="B137:B154"/>
    <mergeCell ref="A155:A156"/>
    <mergeCell ref="B155:B156"/>
    <mergeCell ref="A21:A22"/>
    <mergeCell ref="B21:B22"/>
    <mergeCell ref="A23:A24"/>
    <mergeCell ref="B23:B24"/>
    <mergeCell ref="A25:C25"/>
    <mergeCell ref="A26:A80"/>
    <mergeCell ref="B26:B52"/>
    <mergeCell ref="B53:B80"/>
    <mergeCell ref="A132:A133"/>
    <mergeCell ref="B132:B133"/>
    <mergeCell ref="A110:A111"/>
    <mergeCell ref="B110:B111"/>
    <mergeCell ref="A81:A82"/>
    <mergeCell ref="B81:B82"/>
    <mergeCell ref="A83:A84"/>
    <mergeCell ref="B83:B84"/>
    <mergeCell ref="A85:A86"/>
    <mergeCell ref="B85:B86"/>
    <mergeCell ref="A87:A88"/>
    <mergeCell ref="B87:B88"/>
    <mergeCell ref="A89:C89"/>
    <mergeCell ref="A90:A109"/>
    <mergeCell ref="B90:B109"/>
    <mergeCell ref="A112:A113"/>
    <mergeCell ref="A5:A14"/>
    <mergeCell ref="B5:B8"/>
    <mergeCell ref="B9:B12"/>
    <mergeCell ref="B13:B14"/>
    <mergeCell ref="A15:A16"/>
    <mergeCell ref="B15:B16"/>
    <mergeCell ref="A17:A18"/>
    <mergeCell ref="B17:B18"/>
    <mergeCell ref="A19:A20"/>
    <mergeCell ref="B19:B20"/>
    <mergeCell ref="A1:N1"/>
    <mergeCell ref="A3:A4"/>
    <mergeCell ref="B3:B4"/>
    <mergeCell ref="C3:C4"/>
    <mergeCell ref="D3:D4"/>
    <mergeCell ref="E3:E4"/>
    <mergeCell ref="L3:L4"/>
    <mergeCell ref="M3:M4"/>
    <mergeCell ref="N3:N4"/>
    <mergeCell ref="F3:K3"/>
    <mergeCell ref="A289:F289"/>
    <mergeCell ref="A290:F290"/>
    <mergeCell ref="A291:D291"/>
    <mergeCell ref="A293:D293"/>
    <mergeCell ref="A294:D294"/>
    <mergeCell ref="A279:D279"/>
    <mergeCell ref="A280:D280"/>
    <mergeCell ref="A283:D283"/>
    <mergeCell ref="A285:D285"/>
    <mergeCell ref="A286:F288"/>
    <mergeCell ref="A307:D307"/>
    <mergeCell ref="A310:D310"/>
    <mergeCell ref="A311:D311"/>
    <mergeCell ref="A312:F314"/>
    <mergeCell ref="A315:F315"/>
    <mergeCell ref="A295:D295"/>
    <mergeCell ref="A299:D299"/>
    <mergeCell ref="A301:F301"/>
    <mergeCell ref="A304:D304"/>
    <mergeCell ref="A306:D306"/>
    <mergeCell ref="A325:D325"/>
    <mergeCell ref="A328:F328"/>
    <mergeCell ref="A329:F329"/>
    <mergeCell ref="A333:D333"/>
    <mergeCell ref="A334:D334"/>
    <mergeCell ref="A316:F316"/>
    <mergeCell ref="A317:D317"/>
    <mergeCell ref="A319:D319"/>
    <mergeCell ref="A320:D320"/>
    <mergeCell ref="A321:D321"/>
    <mergeCell ref="A354:D354"/>
    <mergeCell ref="A345:F345"/>
    <mergeCell ref="A346:D346"/>
    <mergeCell ref="A348:D348"/>
    <mergeCell ref="A349:D349"/>
    <mergeCell ref="A350:D350"/>
    <mergeCell ref="A335:D335"/>
    <mergeCell ref="A338:D338"/>
    <mergeCell ref="A340:D340"/>
    <mergeCell ref="A343:F343"/>
    <mergeCell ref="A344:F344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3" manualBreakCount="3">
    <brk id="114" max="16383" man="1"/>
    <brk id="223" max="16383" man="1"/>
    <brk id="32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F383"/>
  <sheetViews>
    <sheetView tabSelected="1" zoomScale="91" zoomScaleNormal="91" zoomScaleSheetLayoutView="93" workbookViewId="0">
      <pane xSplit="3" ySplit="4" topLeftCell="V227" activePane="bottomRight" state="frozen"/>
      <selection pane="topRight" activeCell="D1" sqref="D1"/>
      <selection pane="bottomLeft" activeCell="A5" sqref="A5"/>
      <selection pane="bottomRight" activeCell="Z242" sqref="Z242"/>
    </sheetView>
  </sheetViews>
  <sheetFormatPr defaultRowHeight="14.4" x14ac:dyDescent="0.3"/>
  <cols>
    <col min="1" max="1" width="47.5546875" customWidth="1"/>
    <col min="2" max="2" width="8.33203125" customWidth="1"/>
    <col min="3" max="3" width="7.6640625" customWidth="1"/>
    <col min="4" max="4" width="13.109375" hidden="1" customWidth="1"/>
    <col min="5" max="5" width="14.33203125" hidden="1" customWidth="1"/>
    <col min="6" max="6" width="13.44140625" hidden="1" customWidth="1"/>
    <col min="7" max="7" width="10.44140625" hidden="1" customWidth="1"/>
    <col min="8" max="8" width="13.5546875" hidden="1" customWidth="1"/>
    <col min="9" max="9" width="10.33203125" hidden="1" customWidth="1"/>
    <col min="10" max="10" width="18.33203125" hidden="1" customWidth="1"/>
    <col min="11" max="21" width="14" hidden="1" customWidth="1"/>
    <col min="22" max="22" width="14" customWidth="1"/>
    <col min="23" max="23" width="11.6640625" customWidth="1"/>
    <col min="24" max="25" width="11.5546875" customWidth="1"/>
    <col min="26" max="26" width="14" customWidth="1"/>
    <col min="27" max="27" width="12.33203125" customWidth="1"/>
    <col min="28" max="30" width="14" customWidth="1"/>
    <col min="31" max="31" width="16.44140625" style="118" customWidth="1"/>
    <col min="32" max="32" width="13.88671875" customWidth="1"/>
  </cols>
  <sheetData>
    <row r="1" spans="1:32" ht="21" x14ac:dyDescent="0.3">
      <c r="A1" s="424" t="s">
        <v>193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424"/>
      <c r="S1" s="424"/>
      <c r="T1" s="424"/>
      <c r="U1" s="424"/>
      <c r="V1" s="424"/>
      <c r="W1" s="424"/>
      <c r="X1" s="424"/>
      <c r="Y1" s="424"/>
      <c r="Z1" s="424"/>
      <c r="AA1" s="424"/>
      <c r="AB1" s="424"/>
      <c r="AC1" s="424"/>
      <c r="AD1" s="424"/>
      <c r="AE1" s="424"/>
      <c r="AF1" s="424"/>
    </row>
    <row r="2" spans="1:32" x14ac:dyDescent="0.3">
      <c r="B2" s="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07"/>
    </row>
    <row r="3" spans="1:32" ht="13.5" customHeight="1" x14ac:dyDescent="0.3">
      <c r="A3" s="404" t="s">
        <v>104</v>
      </c>
      <c r="B3" s="406" t="s">
        <v>105</v>
      </c>
      <c r="C3" s="404" t="s">
        <v>3</v>
      </c>
      <c r="D3" s="404" t="s">
        <v>4</v>
      </c>
      <c r="E3" s="412" t="s">
        <v>203</v>
      </c>
      <c r="F3" s="413"/>
      <c r="G3" s="413"/>
      <c r="H3" s="413"/>
      <c r="I3" s="413"/>
      <c r="J3" s="408" t="s">
        <v>204</v>
      </c>
      <c r="K3" s="425" t="s">
        <v>209</v>
      </c>
      <c r="L3" s="426"/>
      <c r="M3" s="426"/>
      <c r="N3" s="426"/>
      <c r="O3" s="427"/>
      <c r="P3" s="408" t="s">
        <v>210</v>
      </c>
      <c r="Q3" s="425" t="s">
        <v>219</v>
      </c>
      <c r="R3" s="426"/>
      <c r="S3" s="426"/>
      <c r="T3" s="426"/>
      <c r="U3" s="427"/>
      <c r="V3" s="408" t="s">
        <v>166</v>
      </c>
      <c r="W3" s="425" t="s">
        <v>221</v>
      </c>
      <c r="X3" s="426"/>
      <c r="Y3" s="426"/>
      <c r="Z3" s="426"/>
      <c r="AA3" s="426"/>
      <c r="AB3" s="426"/>
      <c r="AC3" s="427"/>
      <c r="AD3" s="232"/>
      <c r="AE3" s="410" t="s">
        <v>177</v>
      </c>
      <c r="AF3" s="411" t="s">
        <v>120</v>
      </c>
    </row>
    <row r="4" spans="1:32" ht="87" customHeight="1" x14ac:dyDescent="0.3">
      <c r="A4" s="405"/>
      <c r="B4" s="407"/>
      <c r="C4" s="405"/>
      <c r="D4" s="405"/>
      <c r="E4" s="200" t="s">
        <v>70</v>
      </c>
      <c r="F4" s="214"/>
      <c r="G4" s="214"/>
      <c r="H4" s="214"/>
      <c r="I4" s="190"/>
      <c r="J4" s="409"/>
      <c r="K4" s="200" t="s">
        <v>70</v>
      </c>
      <c r="L4" s="214" t="s">
        <v>206</v>
      </c>
      <c r="M4" s="214"/>
      <c r="N4" s="214"/>
      <c r="O4" s="214"/>
      <c r="P4" s="409"/>
      <c r="Q4" s="214" t="s">
        <v>70</v>
      </c>
      <c r="R4" s="214" t="s">
        <v>211</v>
      </c>
      <c r="S4" s="214" t="s">
        <v>212</v>
      </c>
      <c r="T4" s="214"/>
      <c r="U4" s="214"/>
      <c r="V4" s="409"/>
      <c r="W4" s="214" t="s">
        <v>70</v>
      </c>
      <c r="X4" s="214" t="s">
        <v>222</v>
      </c>
      <c r="Y4" s="214" t="s">
        <v>223</v>
      </c>
      <c r="Z4" s="214" t="s">
        <v>224</v>
      </c>
      <c r="AA4" s="214" t="s">
        <v>225</v>
      </c>
      <c r="AB4" s="214"/>
      <c r="AC4" s="214"/>
      <c r="AD4" s="214" t="s">
        <v>191</v>
      </c>
      <c r="AE4" s="410"/>
      <c r="AF4" s="411"/>
    </row>
    <row r="5" spans="1:32" x14ac:dyDescent="0.3">
      <c r="A5" s="262" t="s">
        <v>6</v>
      </c>
      <c r="B5" s="261" t="s">
        <v>21</v>
      </c>
      <c r="C5" s="2" t="s">
        <v>16</v>
      </c>
      <c r="D5" s="3">
        <v>90133136</v>
      </c>
      <c r="E5" s="3">
        <v>-10745113</v>
      </c>
      <c r="F5" s="3"/>
      <c r="G5" s="3"/>
      <c r="H5" s="3"/>
      <c r="I5" s="20"/>
      <c r="J5" s="20">
        <f>SUM(D5:I5)</f>
        <v>79388023</v>
      </c>
      <c r="K5" s="20"/>
      <c r="L5" s="20"/>
      <c r="M5" s="20"/>
      <c r="N5" s="20"/>
      <c r="O5" s="20"/>
      <c r="P5" s="20">
        <f t="shared" ref="P5:P74" si="0">SUM(J5:O5)</f>
        <v>79388023</v>
      </c>
      <c r="Q5" s="20"/>
      <c r="R5" s="20"/>
      <c r="S5" s="20"/>
      <c r="T5" s="20"/>
      <c r="U5" s="20"/>
      <c r="V5" s="20">
        <f>SUM(P5:U5)</f>
        <v>79388023</v>
      </c>
      <c r="W5" s="20"/>
      <c r="X5" s="20"/>
      <c r="Y5" s="20"/>
      <c r="Z5" s="20"/>
      <c r="AA5" s="20"/>
      <c r="AB5" s="20"/>
      <c r="AC5" s="20"/>
      <c r="AD5" s="20">
        <f>SUM(V5:AC5)</f>
        <v>79388023</v>
      </c>
      <c r="AE5" s="108">
        <v>79388023</v>
      </c>
      <c r="AF5" s="3">
        <f>AD5-AE5</f>
        <v>0</v>
      </c>
    </row>
    <row r="6" spans="1:32" x14ac:dyDescent="0.3">
      <c r="A6" s="285"/>
      <c r="B6" s="261"/>
      <c r="C6" s="2" t="s">
        <v>17</v>
      </c>
      <c r="D6" s="3">
        <f>5565981+250000</f>
        <v>5815981</v>
      </c>
      <c r="E6" s="3"/>
      <c r="F6" s="3"/>
      <c r="G6" s="3"/>
      <c r="H6" s="3"/>
      <c r="I6" s="20"/>
      <c r="J6" s="20">
        <f t="shared" ref="J6:J73" si="1">SUM(D6:I6)</f>
        <v>5815981</v>
      </c>
      <c r="K6" s="20"/>
      <c r="L6" s="20"/>
      <c r="M6" s="20"/>
      <c r="N6" s="20"/>
      <c r="O6" s="20"/>
      <c r="P6" s="20">
        <f t="shared" si="0"/>
        <v>5815981</v>
      </c>
      <c r="Q6" s="20"/>
      <c r="R6" s="20"/>
      <c r="S6" s="20"/>
      <c r="T6" s="20"/>
      <c r="U6" s="20"/>
      <c r="V6" s="20">
        <f t="shared" ref="V6:V75" si="2">SUM(P6:U6)</f>
        <v>5815981</v>
      </c>
      <c r="W6" s="20"/>
      <c r="X6" s="20"/>
      <c r="Y6" s="20"/>
      <c r="Z6" s="20"/>
      <c r="AA6" s="20"/>
      <c r="AB6" s="20"/>
      <c r="AC6" s="20"/>
      <c r="AD6" s="20">
        <f t="shared" ref="AD6:AD44" si="3">SUM(V6:AC6)</f>
        <v>5815981</v>
      </c>
      <c r="AE6" s="108">
        <v>5815981</v>
      </c>
      <c r="AF6" s="3">
        <f t="shared" ref="AF6:AF69" si="4">AD6-AE6</f>
        <v>0</v>
      </c>
    </row>
    <row r="7" spans="1:32" x14ac:dyDescent="0.3">
      <c r="A7" s="285"/>
      <c r="B7" s="261"/>
      <c r="C7" s="2" t="s">
        <v>22</v>
      </c>
      <c r="D7" s="3">
        <v>0</v>
      </c>
      <c r="E7" s="3"/>
      <c r="F7" s="3"/>
      <c r="G7" s="3"/>
      <c r="H7" s="3"/>
      <c r="I7" s="20"/>
      <c r="J7" s="20">
        <f t="shared" si="1"/>
        <v>0</v>
      </c>
      <c r="K7" s="20"/>
      <c r="L7" s="20"/>
      <c r="M7" s="20"/>
      <c r="N7" s="20"/>
      <c r="O7" s="20"/>
      <c r="P7" s="20">
        <f t="shared" si="0"/>
        <v>0</v>
      </c>
      <c r="Q7" s="20"/>
      <c r="R7" s="20"/>
      <c r="S7" s="20"/>
      <c r="T7" s="20"/>
      <c r="U7" s="20"/>
      <c r="V7" s="20">
        <f t="shared" si="2"/>
        <v>0</v>
      </c>
      <c r="W7" s="20"/>
      <c r="X7" s="20"/>
      <c r="Y7" s="20"/>
      <c r="Z7" s="20"/>
      <c r="AA7" s="20"/>
      <c r="AB7" s="20"/>
      <c r="AC7" s="20"/>
      <c r="AD7" s="20">
        <f t="shared" si="3"/>
        <v>0</v>
      </c>
      <c r="AE7" s="108">
        <v>0</v>
      </c>
      <c r="AF7" s="3">
        <f t="shared" si="4"/>
        <v>0</v>
      </c>
    </row>
    <row r="8" spans="1:32" x14ac:dyDescent="0.3">
      <c r="A8" s="285"/>
      <c r="B8" s="261"/>
      <c r="C8" s="2" t="s">
        <v>18</v>
      </c>
      <c r="D8" s="3">
        <v>140653527</v>
      </c>
      <c r="E8" s="3">
        <v>14151630</v>
      </c>
      <c r="F8" s="3"/>
      <c r="G8" s="3"/>
      <c r="H8" s="3"/>
      <c r="I8" s="20"/>
      <c r="J8" s="20">
        <f t="shared" si="1"/>
        <v>154805157</v>
      </c>
      <c r="K8" s="20"/>
      <c r="L8" s="20"/>
      <c r="M8" s="20"/>
      <c r="N8" s="20"/>
      <c r="O8" s="20"/>
      <c r="P8" s="20">
        <f t="shared" si="0"/>
        <v>154805157</v>
      </c>
      <c r="Q8" s="20"/>
      <c r="R8" s="20">
        <v>-5387603</v>
      </c>
      <c r="S8" s="20"/>
      <c r="T8" s="20"/>
      <c r="U8" s="20"/>
      <c r="V8" s="20">
        <f t="shared" si="2"/>
        <v>149417554</v>
      </c>
      <c r="W8" s="20"/>
      <c r="X8" s="20"/>
      <c r="Y8" s="20"/>
      <c r="Z8" s="20">
        <v>-187431</v>
      </c>
      <c r="AA8" s="20"/>
      <c r="AB8" s="20"/>
      <c r="AC8" s="20"/>
      <c r="AD8" s="20">
        <f t="shared" si="3"/>
        <v>149230123</v>
      </c>
      <c r="AE8" s="207">
        <v>149230123</v>
      </c>
      <c r="AF8" s="3">
        <f>AD8-AE8</f>
        <v>0</v>
      </c>
    </row>
    <row r="9" spans="1:32" x14ac:dyDescent="0.3">
      <c r="A9" s="285"/>
      <c r="B9" s="264">
        <v>104042</v>
      </c>
      <c r="C9" s="2" t="s">
        <v>16</v>
      </c>
      <c r="D9" s="3">
        <v>0</v>
      </c>
      <c r="E9" s="3"/>
      <c r="F9" s="3"/>
      <c r="G9" s="3"/>
      <c r="H9" s="3"/>
      <c r="I9" s="20"/>
      <c r="J9" s="20">
        <f t="shared" si="1"/>
        <v>0</v>
      </c>
      <c r="K9" s="20"/>
      <c r="L9" s="20"/>
      <c r="M9" s="20"/>
      <c r="N9" s="20"/>
      <c r="O9" s="20"/>
      <c r="P9" s="20">
        <f t="shared" si="0"/>
        <v>0</v>
      </c>
      <c r="Q9" s="20"/>
      <c r="R9" s="20"/>
      <c r="S9" s="20"/>
      <c r="T9" s="20"/>
      <c r="U9" s="20"/>
      <c r="V9" s="20">
        <f t="shared" si="2"/>
        <v>0</v>
      </c>
      <c r="W9" s="20"/>
      <c r="X9" s="20"/>
      <c r="Y9" s="20"/>
      <c r="Z9" s="20"/>
      <c r="AA9" s="20"/>
      <c r="AB9" s="20"/>
      <c r="AC9" s="20"/>
      <c r="AD9" s="20">
        <f t="shared" si="3"/>
        <v>0</v>
      </c>
      <c r="AE9" s="108">
        <v>0</v>
      </c>
      <c r="AF9" s="3">
        <f t="shared" si="4"/>
        <v>0</v>
      </c>
    </row>
    <row r="10" spans="1:32" x14ac:dyDescent="0.3">
      <c r="A10" s="285"/>
      <c r="B10" s="268"/>
      <c r="C10" s="2" t="s">
        <v>22</v>
      </c>
      <c r="D10" s="3">
        <v>0</v>
      </c>
      <c r="E10" s="3"/>
      <c r="F10" s="3"/>
      <c r="G10" s="3"/>
      <c r="H10" s="3"/>
      <c r="I10" s="20"/>
      <c r="J10" s="20">
        <f t="shared" si="1"/>
        <v>0</v>
      </c>
      <c r="K10" s="20"/>
      <c r="L10" s="20"/>
      <c r="M10" s="20"/>
      <c r="N10" s="20"/>
      <c r="O10" s="20"/>
      <c r="P10" s="20">
        <f t="shared" si="0"/>
        <v>0</v>
      </c>
      <c r="Q10" s="20"/>
      <c r="R10" s="20"/>
      <c r="S10" s="20"/>
      <c r="T10" s="20"/>
      <c r="U10" s="20"/>
      <c r="V10" s="20">
        <f t="shared" si="2"/>
        <v>0</v>
      </c>
      <c r="W10" s="20"/>
      <c r="X10" s="20"/>
      <c r="Y10" s="20"/>
      <c r="Z10" s="20"/>
      <c r="AA10" s="20"/>
      <c r="AB10" s="20"/>
      <c r="AC10" s="20"/>
      <c r="AD10" s="20">
        <f t="shared" si="3"/>
        <v>0</v>
      </c>
      <c r="AE10" s="108">
        <v>0</v>
      </c>
      <c r="AF10" s="3">
        <f t="shared" si="4"/>
        <v>0</v>
      </c>
    </row>
    <row r="11" spans="1:32" x14ac:dyDescent="0.3">
      <c r="A11" s="285"/>
      <c r="B11" s="268"/>
      <c r="C11" s="2" t="s">
        <v>19</v>
      </c>
      <c r="D11" s="3">
        <v>4000</v>
      </c>
      <c r="E11" s="3"/>
      <c r="F11" s="3"/>
      <c r="G11" s="3"/>
      <c r="H11" s="3"/>
      <c r="I11" s="20"/>
      <c r="J11" s="20">
        <f t="shared" si="1"/>
        <v>4000</v>
      </c>
      <c r="K11" s="20"/>
      <c r="L11" s="20"/>
      <c r="M11" s="20"/>
      <c r="N11" s="20"/>
      <c r="O11" s="20"/>
      <c r="P11" s="20">
        <f t="shared" si="0"/>
        <v>4000</v>
      </c>
      <c r="Q11" s="20"/>
      <c r="R11" s="20"/>
      <c r="S11" s="20"/>
      <c r="T11" s="20"/>
      <c r="U11" s="20"/>
      <c r="V11" s="20">
        <f t="shared" si="2"/>
        <v>4000</v>
      </c>
      <c r="W11" s="20">
        <v>-1505</v>
      </c>
      <c r="X11" s="20"/>
      <c r="Y11" s="20"/>
      <c r="Z11" s="20"/>
      <c r="AA11" s="20"/>
      <c r="AB11" s="20"/>
      <c r="AC11" s="20"/>
      <c r="AD11" s="20">
        <f t="shared" si="3"/>
        <v>2495</v>
      </c>
      <c r="AE11" s="108">
        <v>2495</v>
      </c>
      <c r="AF11" s="3">
        <f t="shared" si="4"/>
        <v>0</v>
      </c>
    </row>
    <row r="12" spans="1:32" x14ac:dyDescent="0.3">
      <c r="A12" s="285"/>
      <c r="B12" s="268"/>
      <c r="C12" s="2" t="s">
        <v>20</v>
      </c>
      <c r="D12" s="3">
        <v>1000</v>
      </c>
      <c r="E12" s="3"/>
      <c r="F12" s="3"/>
      <c r="G12" s="3"/>
      <c r="H12" s="3"/>
      <c r="I12" s="20"/>
      <c r="J12" s="20">
        <f t="shared" si="1"/>
        <v>1000</v>
      </c>
      <c r="K12" s="20"/>
      <c r="L12" s="20"/>
      <c r="M12" s="20"/>
      <c r="N12" s="20"/>
      <c r="O12" s="20"/>
      <c r="P12" s="20">
        <f t="shared" si="0"/>
        <v>1000</v>
      </c>
      <c r="Q12" s="20"/>
      <c r="R12" s="20"/>
      <c r="S12" s="20"/>
      <c r="T12" s="20"/>
      <c r="U12" s="20"/>
      <c r="V12" s="20">
        <f t="shared" si="2"/>
        <v>1000</v>
      </c>
      <c r="W12" s="20">
        <v>-620</v>
      </c>
      <c r="X12" s="20"/>
      <c r="Y12" s="20"/>
      <c r="Z12" s="20"/>
      <c r="AA12" s="20"/>
      <c r="AB12" s="20"/>
      <c r="AC12" s="20"/>
      <c r="AD12" s="20">
        <f t="shared" si="3"/>
        <v>380</v>
      </c>
      <c r="AE12" s="108">
        <v>380</v>
      </c>
      <c r="AF12" s="3">
        <f t="shared" si="4"/>
        <v>0</v>
      </c>
    </row>
    <row r="13" spans="1:32" x14ac:dyDescent="0.3">
      <c r="A13" s="285"/>
      <c r="B13" s="268"/>
      <c r="C13" s="2" t="s">
        <v>84</v>
      </c>
      <c r="D13" s="3">
        <v>6000</v>
      </c>
      <c r="E13" s="3">
        <v>0</v>
      </c>
      <c r="F13" s="3"/>
      <c r="G13" s="3"/>
      <c r="H13" s="3"/>
      <c r="I13" s="20"/>
      <c r="J13" s="20">
        <f t="shared" si="1"/>
        <v>6000</v>
      </c>
      <c r="K13" s="20">
        <v>-945</v>
      </c>
      <c r="L13" s="20"/>
      <c r="M13" s="20"/>
      <c r="N13" s="20"/>
      <c r="O13" s="20"/>
      <c r="P13" s="20">
        <f t="shared" si="0"/>
        <v>5055</v>
      </c>
      <c r="Q13" s="20">
        <v>2000</v>
      </c>
      <c r="R13" s="20"/>
      <c r="S13" s="20"/>
      <c r="T13" s="20"/>
      <c r="U13" s="20"/>
      <c r="V13" s="20">
        <f t="shared" si="2"/>
        <v>7055</v>
      </c>
      <c r="W13" s="20">
        <v>26003</v>
      </c>
      <c r="X13" s="20">
        <v>55199</v>
      </c>
      <c r="Y13" s="20"/>
      <c r="Z13" s="20"/>
      <c r="AA13" s="20"/>
      <c r="AB13" s="20"/>
      <c r="AC13" s="20"/>
      <c r="AD13" s="20">
        <f t="shared" si="3"/>
        <v>88257</v>
      </c>
      <c r="AE13" s="108">
        <v>88257</v>
      </c>
      <c r="AF13" s="3">
        <f t="shared" si="4"/>
        <v>0</v>
      </c>
    </row>
    <row r="14" spans="1:32" x14ac:dyDescent="0.3">
      <c r="A14" s="285"/>
      <c r="B14" s="268"/>
      <c r="C14" s="2" t="s">
        <v>194</v>
      </c>
      <c r="D14" s="3">
        <v>120000</v>
      </c>
      <c r="E14" s="3"/>
      <c r="F14" s="3"/>
      <c r="G14" s="3"/>
      <c r="H14" s="3"/>
      <c r="I14" s="20"/>
      <c r="J14" s="20">
        <f t="shared" si="1"/>
        <v>120000</v>
      </c>
      <c r="K14" s="20"/>
      <c r="L14" s="20"/>
      <c r="M14" s="20"/>
      <c r="N14" s="20"/>
      <c r="O14" s="20"/>
      <c r="P14" s="20">
        <f t="shared" si="0"/>
        <v>120000</v>
      </c>
      <c r="Q14" s="20">
        <v>-2000</v>
      </c>
      <c r="R14" s="20"/>
      <c r="S14" s="20"/>
      <c r="T14" s="20"/>
      <c r="U14" s="20"/>
      <c r="V14" s="20">
        <f t="shared" si="2"/>
        <v>118000</v>
      </c>
      <c r="W14" s="20">
        <v>-15000</v>
      </c>
      <c r="X14" s="20"/>
      <c r="Y14" s="20"/>
      <c r="Z14" s="20"/>
      <c r="AA14" s="20"/>
      <c r="AB14" s="20"/>
      <c r="AC14" s="20"/>
      <c r="AD14" s="20">
        <f t="shared" si="3"/>
        <v>103000</v>
      </c>
      <c r="AE14" s="108">
        <v>103000</v>
      </c>
      <c r="AF14" s="3">
        <f t="shared" si="4"/>
        <v>0</v>
      </c>
    </row>
    <row r="15" spans="1:32" x14ac:dyDescent="0.3">
      <c r="A15" s="285"/>
      <c r="B15" s="265"/>
      <c r="C15" s="2" t="s">
        <v>202</v>
      </c>
      <c r="D15" s="3">
        <v>0</v>
      </c>
      <c r="E15" s="3">
        <v>0</v>
      </c>
      <c r="F15" s="3"/>
      <c r="G15" s="3"/>
      <c r="H15" s="3"/>
      <c r="I15" s="20"/>
      <c r="J15" s="20">
        <f t="shared" si="1"/>
        <v>0</v>
      </c>
      <c r="K15" s="20">
        <v>945</v>
      </c>
      <c r="L15" s="20"/>
      <c r="M15" s="20"/>
      <c r="N15" s="20"/>
      <c r="O15" s="20"/>
      <c r="P15" s="20">
        <f t="shared" si="0"/>
        <v>945</v>
      </c>
      <c r="Q15" s="20"/>
      <c r="R15" s="20"/>
      <c r="S15" s="20"/>
      <c r="T15" s="20"/>
      <c r="U15" s="20"/>
      <c r="V15" s="20">
        <f t="shared" si="2"/>
        <v>945</v>
      </c>
      <c r="W15" s="20"/>
      <c r="X15" s="20"/>
      <c r="Y15" s="20"/>
      <c r="Z15" s="20"/>
      <c r="AA15" s="20"/>
      <c r="AB15" s="20"/>
      <c r="AC15" s="20"/>
      <c r="AD15" s="20">
        <f t="shared" si="3"/>
        <v>945</v>
      </c>
      <c r="AE15" s="108">
        <v>945</v>
      </c>
      <c r="AF15" s="3">
        <f t="shared" si="4"/>
        <v>0</v>
      </c>
    </row>
    <row r="16" spans="1:32" x14ac:dyDescent="0.3">
      <c r="A16" s="285"/>
      <c r="B16" s="264">
        <v>104043</v>
      </c>
      <c r="C16" s="2" t="s">
        <v>19</v>
      </c>
      <c r="D16" s="3">
        <v>4000</v>
      </c>
      <c r="E16" s="3"/>
      <c r="F16" s="3"/>
      <c r="G16" s="3"/>
      <c r="H16" s="3"/>
      <c r="I16" s="20"/>
      <c r="J16" s="20">
        <f t="shared" si="1"/>
        <v>4000</v>
      </c>
      <c r="K16" s="20"/>
      <c r="L16" s="20"/>
      <c r="M16" s="20"/>
      <c r="N16" s="20"/>
      <c r="O16" s="20"/>
      <c r="P16" s="20">
        <f t="shared" si="0"/>
        <v>4000</v>
      </c>
      <c r="Q16" s="20"/>
      <c r="R16" s="20"/>
      <c r="S16" s="20"/>
      <c r="T16" s="20"/>
      <c r="U16" s="20"/>
      <c r="V16" s="20">
        <f t="shared" si="2"/>
        <v>4000</v>
      </c>
      <c r="W16" s="20">
        <v>-1505</v>
      </c>
      <c r="X16" s="20"/>
      <c r="Y16" s="20"/>
      <c r="Z16" s="20"/>
      <c r="AA16" s="20"/>
      <c r="AB16" s="20"/>
      <c r="AC16" s="20"/>
      <c r="AD16" s="20">
        <f t="shared" si="3"/>
        <v>2495</v>
      </c>
      <c r="AE16" s="108">
        <v>2495</v>
      </c>
      <c r="AF16" s="3">
        <f t="shared" si="4"/>
        <v>0</v>
      </c>
    </row>
    <row r="17" spans="1:32" x14ac:dyDescent="0.3">
      <c r="A17" s="285"/>
      <c r="B17" s="268"/>
      <c r="C17" s="2" t="s">
        <v>20</v>
      </c>
      <c r="D17" s="3">
        <v>1000</v>
      </c>
      <c r="E17" s="3"/>
      <c r="F17" s="3"/>
      <c r="G17" s="3"/>
      <c r="H17" s="3"/>
      <c r="I17" s="20"/>
      <c r="J17" s="20">
        <f t="shared" si="1"/>
        <v>1000</v>
      </c>
      <c r="K17" s="20"/>
      <c r="L17" s="20"/>
      <c r="M17" s="20"/>
      <c r="N17" s="20"/>
      <c r="O17" s="20"/>
      <c r="P17" s="20">
        <f t="shared" si="0"/>
        <v>1000</v>
      </c>
      <c r="Q17" s="20"/>
      <c r="R17" s="20"/>
      <c r="S17" s="20"/>
      <c r="T17" s="20"/>
      <c r="U17" s="20"/>
      <c r="V17" s="20">
        <f t="shared" si="2"/>
        <v>1000</v>
      </c>
      <c r="W17" s="20">
        <v>-619</v>
      </c>
      <c r="X17" s="20"/>
      <c r="Y17" s="20"/>
      <c r="Z17" s="20"/>
      <c r="AA17" s="20"/>
      <c r="AB17" s="20"/>
      <c r="AC17" s="20"/>
      <c r="AD17" s="20">
        <f t="shared" si="3"/>
        <v>381</v>
      </c>
      <c r="AE17" s="108">
        <v>381</v>
      </c>
      <c r="AF17" s="3">
        <f t="shared" si="4"/>
        <v>0</v>
      </c>
    </row>
    <row r="18" spans="1:32" x14ac:dyDescent="0.3">
      <c r="A18" s="263"/>
      <c r="B18" s="265"/>
      <c r="C18" s="2" t="s">
        <v>84</v>
      </c>
      <c r="D18" s="3">
        <v>6000</v>
      </c>
      <c r="E18" s="3"/>
      <c r="F18" s="3"/>
      <c r="G18" s="3"/>
      <c r="H18" s="3"/>
      <c r="I18" s="20"/>
      <c r="J18" s="20">
        <f t="shared" si="1"/>
        <v>6000</v>
      </c>
      <c r="K18" s="20"/>
      <c r="L18" s="20"/>
      <c r="M18" s="20"/>
      <c r="N18" s="20"/>
      <c r="O18" s="20"/>
      <c r="P18" s="20">
        <f t="shared" si="0"/>
        <v>6000</v>
      </c>
      <c r="Q18" s="20"/>
      <c r="R18" s="20"/>
      <c r="S18" s="20"/>
      <c r="T18" s="20"/>
      <c r="U18" s="20"/>
      <c r="V18" s="20">
        <f t="shared" si="2"/>
        <v>6000</v>
      </c>
      <c r="W18" s="20">
        <v>-6000</v>
      </c>
      <c r="X18" s="20"/>
      <c r="Y18" s="20"/>
      <c r="Z18" s="20"/>
      <c r="AA18" s="20"/>
      <c r="AB18" s="20"/>
      <c r="AC18" s="20"/>
      <c r="AD18" s="20">
        <f t="shared" si="3"/>
        <v>0</v>
      </c>
      <c r="AE18" s="108">
        <v>0</v>
      </c>
      <c r="AF18" s="3">
        <f t="shared" si="4"/>
        <v>0</v>
      </c>
    </row>
    <row r="19" spans="1:32" x14ac:dyDescent="0.3">
      <c r="A19" s="233" t="s">
        <v>192</v>
      </c>
      <c r="B19" s="234" t="s">
        <v>46</v>
      </c>
      <c r="C19" s="2" t="s">
        <v>19</v>
      </c>
      <c r="D19" s="3">
        <v>2000</v>
      </c>
      <c r="E19" s="3"/>
      <c r="F19" s="3"/>
      <c r="G19" s="3"/>
      <c r="H19" s="3"/>
      <c r="I19" s="20"/>
      <c r="J19" s="20">
        <f t="shared" si="1"/>
        <v>2000</v>
      </c>
      <c r="K19" s="20"/>
      <c r="L19" s="20"/>
      <c r="M19" s="20"/>
      <c r="N19" s="20"/>
      <c r="O19" s="20"/>
      <c r="P19" s="20">
        <f t="shared" si="0"/>
        <v>2000</v>
      </c>
      <c r="Q19" s="20"/>
      <c r="R19" s="20"/>
      <c r="S19" s="20"/>
      <c r="T19" s="20"/>
      <c r="U19" s="20"/>
      <c r="V19" s="20">
        <f t="shared" si="2"/>
        <v>2000</v>
      </c>
      <c r="W19" s="20">
        <v>-754</v>
      </c>
      <c r="X19" s="20"/>
      <c r="Y19" s="20"/>
      <c r="Z19" s="20"/>
      <c r="AA19" s="20"/>
      <c r="AB19" s="20"/>
      <c r="AC19" s="20"/>
      <c r="AD19" s="20">
        <f t="shared" si="3"/>
        <v>1246</v>
      </c>
      <c r="AE19" s="108">
        <v>1246</v>
      </c>
      <c r="AF19" s="3">
        <f t="shared" si="4"/>
        <v>0</v>
      </c>
    </row>
    <row r="20" spans="1:32" x14ac:dyDescent="0.3">
      <c r="A20" s="254" t="s">
        <v>7</v>
      </c>
      <c r="B20" s="261" t="s">
        <v>21</v>
      </c>
      <c r="C20" s="2" t="s">
        <v>16</v>
      </c>
      <c r="D20" s="4">
        <v>774613</v>
      </c>
      <c r="E20" s="3">
        <v>-518613</v>
      </c>
      <c r="F20" s="3"/>
      <c r="G20" s="3"/>
      <c r="H20" s="3"/>
      <c r="I20" s="20"/>
      <c r="J20" s="20">
        <f t="shared" si="1"/>
        <v>256000</v>
      </c>
      <c r="K20" s="20"/>
      <c r="L20" s="20"/>
      <c r="M20" s="20"/>
      <c r="N20" s="20"/>
      <c r="O20" s="20"/>
      <c r="P20" s="20">
        <f t="shared" si="0"/>
        <v>256000</v>
      </c>
      <c r="Q20" s="20"/>
      <c r="R20" s="20"/>
      <c r="S20" s="20"/>
      <c r="T20" s="20"/>
      <c r="U20" s="20"/>
      <c r="V20" s="20">
        <f t="shared" si="2"/>
        <v>256000</v>
      </c>
      <c r="W20" s="20"/>
      <c r="X20" s="20"/>
      <c r="Y20" s="20"/>
      <c r="Z20" s="20"/>
      <c r="AA20" s="20"/>
      <c r="AB20" s="20"/>
      <c r="AC20" s="20"/>
      <c r="AD20" s="20">
        <f t="shared" si="3"/>
        <v>256000</v>
      </c>
      <c r="AE20" s="108">
        <v>256000</v>
      </c>
      <c r="AF20" s="3">
        <f t="shared" si="4"/>
        <v>0</v>
      </c>
    </row>
    <row r="21" spans="1:32" x14ac:dyDescent="0.3">
      <c r="A21" s="254"/>
      <c r="B21" s="261"/>
      <c r="C21" s="2" t="s">
        <v>17</v>
      </c>
      <c r="D21" s="3">
        <v>0</v>
      </c>
      <c r="E21" s="3"/>
      <c r="F21" s="3"/>
      <c r="G21" s="3"/>
      <c r="H21" s="3"/>
      <c r="I21" s="20"/>
      <c r="J21" s="20">
        <f t="shared" si="1"/>
        <v>0</v>
      </c>
      <c r="K21" s="20"/>
      <c r="L21" s="20"/>
      <c r="M21" s="20"/>
      <c r="N21" s="20"/>
      <c r="O21" s="20"/>
      <c r="P21" s="20">
        <f t="shared" si="0"/>
        <v>0</v>
      </c>
      <c r="Q21" s="20"/>
      <c r="R21" s="20"/>
      <c r="S21" s="20"/>
      <c r="T21" s="20"/>
      <c r="U21" s="20"/>
      <c r="V21" s="20">
        <f t="shared" si="2"/>
        <v>0</v>
      </c>
      <c r="W21" s="20"/>
      <c r="X21" s="20"/>
      <c r="Y21" s="20"/>
      <c r="Z21" s="20"/>
      <c r="AA21" s="20"/>
      <c r="AB21" s="20"/>
      <c r="AC21" s="20"/>
      <c r="AD21" s="20">
        <f t="shared" si="3"/>
        <v>0</v>
      </c>
      <c r="AE21" s="108">
        <v>0</v>
      </c>
      <c r="AF21" s="3">
        <f t="shared" si="4"/>
        <v>0</v>
      </c>
    </row>
    <row r="22" spans="1:32" x14ac:dyDescent="0.3">
      <c r="A22" s="254" t="s">
        <v>8</v>
      </c>
      <c r="B22" s="261" t="s">
        <v>21</v>
      </c>
      <c r="C22" s="2" t="s">
        <v>16</v>
      </c>
      <c r="D22" s="4">
        <v>4448837</v>
      </c>
      <c r="E22" s="3">
        <v>-844275</v>
      </c>
      <c r="F22" s="3"/>
      <c r="G22" s="3"/>
      <c r="H22" s="3"/>
      <c r="I22" s="20"/>
      <c r="J22" s="20">
        <f t="shared" si="1"/>
        <v>3604562</v>
      </c>
      <c r="K22" s="20"/>
      <c r="L22" s="20">
        <v>73635</v>
      </c>
      <c r="M22" s="20"/>
      <c r="N22" s="20"/>
      <c r="O22" s="20"/>
      <c r="P22" s="20">
        <f t="shared" si="0"/>
        <v>3678197</v>
      </c>
      <c r="Q22" s="20"/>
      <c r="R22" s="20"/>
      <c r="S22" s="20">
        <v>50624</v>
      </c>
      <c r="T22" s="20"/>
      <c r="U22" s="20"/>
      <c r="V22" s="20">
        <f t="shared" si="2"/>
        <v>3728821</v>
      </c>
      <c r="W22" s="20"/>
      <c r="X22" s="20"/>
      <c r="Y22" s="20">
        <v>25312</v>
      </c>
      <c r="Z22" s="20"/>
      <c r="AA22" s="20"/>
      <c r="AB22" s="20"/>
      <c r="AC22" s="20"/>
      <c r="AD22" s="20">
        <f t="shared" si="3"/>
        <v>3754133</v>
      </c>
      <c r="AE22" s="108">
        <v>3754133</v>
      </c>
      <c r="AF22" s="3">
        <f t="shared" si="4"/>
        <v>0</v>
      </c>
    </row>
    <row r="23" spans="1:32" x14ac:dyDescent="0.3">
      <c r="A23" s="254"/>
      <c r="B23" s="261"/>
      <c r="C23" s="2" t="s">
        <v>17</v>
      </c>
      <c r="D23" s="3">
        <v>279500</v>
      </c>
      <c r="E23" s="3"/>
      <c r="F23" s="3"/>
      <c r="G23" s="3"/>
      <c r="H23" s="3"/>
      <c r="I23" s="20"/>
      <c r="J23" s="20">
        <f t="shared" si="1"/>
        <v>279500</v>
      </c>
      <c r="K23" s="20"/>
      <c r="L23" s="20"/>
      <c r="M23" s="20"/>
      <c r="N23" s="20"/>
      <c r="O23" s="20"/>
      <c r="P23" s="20">
        <f t="shared" si="0"/>
        <v>279500</v>
      </c>
      <c r="Q23" s="20"/>
      <c r="R23" s="20"/>
      <c r="S23" s="20"/>
      <c r="T23" s="20"/>
      <c r="U23" s="20"/>
      <c r="V23" s="20">
        <f t="shared" si="2"/>
        <v>279500</v>
      </c>
      <c r="W23" s="20"/>
      <c r="X23" s="20"/>
      <c r="Y23" s="20"/>
      <c r="Z23" s="20"/>
      <c r="AA23" s="20"/>
      <c r="AB23" s="20"/>
      <c r="AC23" s="20"/>
      <c r="AD23" s="20">
        <f t="shared" si="3"/>
        <v>279500</v>
      </c>
      <c r="AE23" s="108">
        <v>279500</v>
      </c>
      <c r="AF23" s="3">
        <f t="shared" si="4"/>
        <v>0</v>
      </c>
    </row>
    <row r="24" spans="1:32" x14ac:dyDescent="0.3">
      <c r="A24" s="254" t="s">
        <v>187</v>
      </c>
      <c r="B24" s="261" t="s">
        <v>21</v>
      </c>
      <c r="C24" s="2" t="s">
        <v>16</v>
      </c>
      <c r="D24" s="4">
        <v>1872554</v>
      </c>
      <c r="E24" s="3">
        <v>-1198590</v>
      </c>
      <c r="F24" s="3"/>
      <c r="G24" s="3"/>
      <c r="H24" s="3"/>
      <c r="I24" s="20"/>
      <c r="J24" s="20">
        <f t="shared" si="1"/>
        <v>673964</v>
      </c>
      <c r="K24" s="20"/>
      <c r="L24" s="20"/>
      <c r="M24" s="20"/>
      <c r="N24" s="20"/>
      <c r="O24" s="20"/>
      <c r="P24" s="20">
        <f t="shared" si="0"/>
        <v>673964</v>
      </c>
      <c r="Q24" s="20"/>
      <c r="R24" s="20"/>
      <c r="S24" s="20"/>
      <c r="T24" s="20"/>
      <c r="U24" s="20"/>
      <c r="V24" s="20">
        <f t="shared" si="2"/>
        <v>673964</v>
      </c>
      <c r="W24" s="20"/>
      <c r="X24" s="20"/>
      <c r="Y24" s="20"/>
      <c r="Z24" s="20"/>
      <c r="AA24" s="20"/>
      <c r="AB24" s="20"/>
      <c r="AC24" s="20"/>
      <c r="AD24" s="20">
        <f t="shared" si="3"/>
        <v>673964</v>
      </c>
      <c r="AE24" s="108">
        <v>673964</v>
      </c>
      <c r="AF24" s="3">
        <f t="shared" si="4"/>
        <v>0</v>
      </c>
    </row>
    <row r="25" spans="1:32" x14ac:dyDescent="0.3">
      <c r="A25" s="254"/>
      <c r="B25" s="261"/>
      <c r="C25" s="2" t="s">
        <v>17</v>
      </c>
      <c r="D25" s="3">
        <v>535996</v>
      </c>
      <c r="E25" s="3"/>
      <c r="F25" s="3"/>
      <c r="G25" s="3"/>
      <c r="H25" s="3"/>
      <c r="I25" s="20"/>
      <c r="J25" s="20">
        <f t="shared" si="1"/>
        <v>535996</v>
      </c>
      <c r="K25" s="20"/>
      <c r="L25" s="20"/>
      <c r="M25" s="20"/>
      <c r="N25" s="20"/>
      <c r="O25" s="20"/>
      <c r="P25" s="20">
        <f t="shared" si="0"/>
        <v>535996</v>
      </c>
      <c r="Q25" s="20"/>
      <c r="R25" s="20"/>
      <c r="S25" s="20"/>
      <c r="T25" s="20"/>
      <c r="U25" s="20"/>
      <c r="V25" s="20">
        <f t="shared" si="2"/>
        <v>535996</v>
      </c>
      <c r="W25" s="20"/>
      <c r="X25" s="20"/>
      <c r="Y25" s="20"/>
      <c r="Z25" s="20"/>
      <c r="AA25" s="20"/>
      <c r="AB25" s="20"/>
      <c r="AC25" s="20"/>
      <c r="AD25" s="20">
        <f t="shared" si="3"/>
        <v>535996</v>
      </c>
      <c r="AE25" s="108">
        <v>535996</v>
      </c>
      <c r="AF25" s="3">
        <f t="shared" si="4"/>
        <v>0</v>
      </c>
    </row>
    <row r="26" spans="1:32" x14ac:dyDescent="0.3">
      <c r="A26" s="262" t="s">
        <v>54</v>
      </c>
      <c r="B26" s="264" t="s">
        <v>21</v>
      </c>
      <c r="C26" s="2" t="s">
        <v>16</v>
      </c>
      <c r="D26" s="4">
        <v>4510469</v>
      </c>
      <c r="E26" s="3">
        <v>-845039</v>
      </c>
      <c r="F26" s="3"/>
      <c r="G26" s="3"/>
      <c r="H26" s="3"/>
      <c r="I26" s="20"/>
      <c r="J26" s="20">
        <f t="shared" si="1"/>
        <v>3665430</v>
      </c>
      <c r="K26" s="20"/>
      <c r="L26" s="20"/>
      <c r="M26" s="20"/>
      <c r="N26" s="20"/>
      <c r="O26" s="20"/>
      <c r="P26" s="20">
        <f t="shared" si="0"/>
        <v>3665430</v>
      </c>
      <c r="Q26" s="20"/>
      <c r="R26" s="20"/>
      <c r="S26" s="20"/>
      <c r="T26" s="20"/>
      <c r="U26" s="20"/>
      <c r="V26" s="20">
        <f t="shared" si="2"/>
        <v>3665430</v>
      </c>
      <c r="W26" s="20"/>
      <c r="X26" s="20"/>
      <c r="Y26" s="20"/>
      <c r="Z26" s="20"/>
      <c r="AA26" s="20">
        <v>-1000000</v>
      </c>
      <c r="AB26" s="20"/>
      <c r="AC26" s="20"/>
      <c r="AD26" s="20">
        <f t="shared" si="3"/>
        <v>2665430</v>
      </c>
      <c r="AE26" s="108">
        <v>2665430</v>
      </c>
      <c r="AF26" s="3">
        <f t="shared" si="4"/>
        <v>0</v>
      </c>
    </row>
    <row r="27" spans="1:32" x14ac:dyDescent="0.3">
      <c r="A27" s="263"/>
      <c r="B27" s="265"/>
      <c r="C27" s="2" t="s">
        <v>17</v>
      </c>
      <c r="D27" s="3">
        <v>679551</v>
      </c>
      <c r="E27" s="3"/>
      <c r="F27" s="3"/>
      <c r="G27" s="3"/>
      <c r="H27" s="3"/>
      <c r="I27" s="20"/>
      <c r="J27" s="20">
        <f t="shared" si="1"/>
        <v>679551</v>
      </c>
      <c r="K27" s="20"/>
      <c r="L27" s="20"/>
      <c r="M27" s="20"/>
      <c r="N27" s="20"/>
      <c r="O27" s="20"/>
      <c r="P27" s="20">
        <f t="shared" si="0"/>
        <v>679551</v>
      </c>
      <c r="Q27" s="20"/>
      <c r="R27" s="20"/>
      <c r="S27" s="20"/>
      <c r="T27" s="20"/>
      <c r="U27" s="20"/>
      <c r="V27" s="20">
        <f t="shared" si="2"/>
        <v>679551</v>
      </c>
      <c r="W27" s="20"/>
      <c r="X27" s="20"/>
      <c r="Y27" s="20"/>
      <c r="Z27" s="20"/>
      <c r="AA27" s="20"/>
      <c r="AB27" s="20"/>
      <c r="AC27" s="20"/>
      <c r="AD27" s="20">
        <f t="shared" si="3"/>
        <v>679551</v>
      </c>
      <c r="AE27" s="108">
        <v>679551</v>
      </c>
      <c r="AF27" s="3">
        <f t="shared" si="4"/>
        <v>0</v>
      </c>
    </row>
    <row r="28" spans="1:32" x14ac:dyDescent="0.3">
      <c r="A28" s="254" t="s">
        <v>10</v>
      </c>
      <c r="B28" s="261" t="s">
        <v>21</v>
      </c>
      <c r="C28" s="2" t="s">
        <v>16</v>
      </c>
      <c r="D28" s="3">
        <v>0</v>
      </c>
      <c r="E28" s="3"/>
      <c r="F28" s="3"/>
      <c r="G28" s="3"/>
      <c r="H28" s="3"/>
      <c r="I28" s="20"/>
      <c r="J28" s="20">
        <f t="shared" si="1"/>
        <v>0</v>
      </c>
      <c r="K28" s="20"/>
      <c r="L28" s="20"/>
      <c r="M28" s="20"/>
      <c r="N28" s="20"/>
      <c r="O28" s="20"/>
      <c r="P28" s="20">
        <f t="shared" si="0"/>
        <v>0</v>
      </c>
      <c r="Q28" s="20"/>
      <c r="R28" s="20"/>
      <c r="S28" s="20"/>
      <c r="T28" s="20"/>
      <c r="U28" s="20"/>
      <c r="V28" s="20">
        <f t="shared" si="2"/>
        <v>0</v>
      </c>
      <c r="W28" s="20"/>
      <c r="X28" s="20"/>
      <c r="Y28" s="20"/>
      <c r="Z28" s="20"/>
      <c r="AA28" s="20"/>
      <c r="AB28" s="20"/>
      <c r="AC28" s="20"/>
      <c r="AD28" s="20">
        <f t="shared" si="3"/>
        <v>0</v>
      </c>
      <c r="AE28" s="108">
        <v>0</v>
      </c>
      <c r="AF28" s="3">
        <f t="shared" si="4"/>
        <v>0</v>
      </c>
    </row>
    <row r="29" spans="1:32" x14ac:dyDescent="0.3">
      <c r="A29" s="254"/>
      <c r="B29" s="261"/>
      <c r="C29" s="2" t="s">
        <v>17</v>
      </c>
      <c r="D29" s="3">
        <v>0</v>
      </c>
      <c r="E29" s="3"/>
      <c r="F29" s="3"/>
      <c r="G29" s="3"/>
      <c r="H29" s="3"/>
      <c r="I29" s="20"/>
      <c r="J29" s="20">
        <f t="shared" si="1"/>
        <v>0</v>
      </c>
      <c r="K29" s="20"/>
      <c r="L29" s="20"/>
      <c r="M29" s="20"/>
      <c r="N29" s="20"/>
      <c r="O29" s="20"/>
      <c r="P29" s="20">
        <f t="shared" si="0"/>
        <v>0</v>
      </c>
      <c r="Q29" s="20"/>
      <c r="R29" s="20"/>
      <c r="S29" s="20"/>
      <c r="T29" s="20"/>
      <c r="U29" s="20"/>
      <c r="V29" s="20">
        <f t="shared" si="2"/>
        <v>0</v>
      </c>
      <c r="W29" s="20"/>
      <c r="X29" s="20"/>
      <c r="Y29" s="20"/>
      <c r="Z29" s="20"/>
      <c r="AA29" s="20"/>
      <c r="AB29" s="20"/>
      <c r="AC29" s="20"/>
      <c r="AD29" s="20">
        <f t="shared" si="3"/>
        <v>0</v>
      </c>
      <c r="AE29" s="108">
        <v>0</v>
      </c>
      <c r="AF29" s="3">
        <f t="shared" si="4"/>
        <v>0</v>
      </c>
    </row>
    <row r="30" spans="1:32" ht="30" customHeight="1" x14ac:dyDescent="0.3">
      <c r="A30" s="415" t="s">
        <v>73</v>
      </c>
      <c r="B30" s="416"/>
      <c r="C30" s="417"/>
      <c r="D30" s="188">
        <f t="shared" ref="D30:N30" si="5">SUM(D5:D29)</f>
        <v>249848164</v>
      </c>
      <c r="E30" s="188">
        <f>SUM(E5:E29)</f>
        <v>0</v>
      </c>
      <c r="F30" s="188">
        <f t="shared" si="5"/>
        <v>0</v>
      </c>
      <c r="G30" s="188">
        <f t="shared" si="5"/>
        <v>0</v>
      </c>
      <c r="H30" s="188">
        <f t="shared" si="5"/>
        <v>0</v>
      </c>
      <c r="I30" s="188">
        <f t="shared" si="5"/>
        <v>0</v>
      </c>
      <c r="J30" s="188">
        <f t="shared" si="5"/>
        <v>249848164</v>
      </c>
      <c r="K30" s="188">
        <f t="shared" si="5"/>
        <v>0</v>
      </c>
      <c r="L30" s="188">
        <f t="shared" si="5"/>
        <v>73635</v>
      </c>
      <c r="M30" s="188">
        <f t="shared" si="5"/>
        <v>0</v>
      </c>
      <c r="N30" s="188">
        <f t="shared" si="5"/>
        <v>0</v>
      </c>
      <c r="O30" s="188"/>
      <c r="P30" s="188">
        <f t="shared" si="0"/>
        <v>249921799</v>
      </c>
      <c r="Q30" s="188">
        <f>SUM(Q5:Q29)</f>
        <v>0</v>
      </c>
      <c r="R30" s="188">
        <f>SUM(R5:R29)</f>
        <v>-5387603</v>
      </c>
      <c r="S30" s="188">
        <f>SUM(S5:S29)</f>
        <v>50624</v>
      </c>
      <c r="T30" s="188">
        <f>SUM(T5:T29)</f>
        <v>0</v>
      </c>
      <c r="U30" s="188">
        <f>SUM(U5:U29)</f>
        <v>0</v>
      </c>
      <c r="V30" s="188">
        <f>SUM(P30:U30)</f>
        <v>244584820</v>
      </c>
      <c r="W30" s="188">
        <f t="shared" ref="W30:AC30" si="6">SUM(W5:W29)</f>
        <v>0</v>
      </c>
      <c r="X30" s="188">
        <f t="shared" si="6"/>
        <v>55199</v>
      </c>
      <c r="Y30" s="188">
        <f t="shared" si="6"/>
        <v>25312</v>
      </c>
      <c r="Z30" s="188">
        <f t="shared" si="6"/>
        <v>-187431</v>
      </c>
      <c r="AA30" s="188">
        <f t="shared" si="6"/>
        <v>-1000000</v>
      </c>
      <c r="AB30" s="188">
        <f t="shared" si="6"/>
        <v>0</v>
      </c>
      <c r="AC30" s="188">
        <f t="shared" si="6"/>
        <v>0</v>
      </c>
      <c r="AD30" s="188">
        <f>SUM(V30:AC30)</f>
        <v>243477900</v>
      </c>
      <c r="AE30" s="189">
        <f>SUM(AE5:AE29)</f>
        <v>243477900</v>
      </c>
      <c r="AF30" s="189">
        <f t="shared" si="4"/>
        <v>0</v>
      </c>
    </row>
    <row r="31" spans="1:32" x14ac:dyDescent="0.3">
      <c r="A31" s="254" t="s">
        <v>11</v>
      </c>
      <c r="B31" s="264" t="s">
        <v>23</v>
      </c>
      <c r="C31" s="2" t="s">
        <v>24</v>
      </c>
      <c r="D31" s="3">
        <v>55724196</v>
      </c>
      <c r="E31" s="3">
        <f>-561920-95099-92107</f>
        <v>-749126</v>
      </c>
      <c r="F31" s="3"/>
      <c r="G31" s="3"/>
      <c r="H31" s="3"/>
      <c r="I31" s="20"/>
      <c r="J31" s="20">
        <f t="shared" si="1"/>
        <v>54975070</v>
      </c>
      <c r="K31" s="20">
        <v>-65609</v>
      </c>
      <c r="L31" s="20"/>
      <c r="M31" s="20"/>
      <c r="N31" s="20"/>
      <c r="O31" s="20"/>
      <c r="P31" s="20">
        <f t="shared" si="0"/>
        <v>54909461</v>
      </c>
      <c r="Q31" s="20">
        <f>-1000000-540000-385000</f>
        <v>-1925000</v>
      </c>
      <c r="R31" s="20"/>
      <c r="S31" s="20"/>
      <c r="T31" s="20"/>
      <c r="U31" s="20"/>
      <c r="V31" s="20">
        <f t="shared" si="2"/>
        <v>52984461</v>
      </c>
      <c r="W31" s="20">
        <f>153000-153000</f>
        <v>0</v>
      </c>
      <c r="X31" s="20"/>
      <c r="Y31" s="20"/>
      <c r="Z31" s="20"/>
      <c r="AA31" s="20"/>
      <c r="AB31" s="20"/>
      <c r="AC31" s="20"/>
      <c r="AD31" s="20">
        <f t="shared" si="3"/>
        <v>52984461</v>
      </c>
      <c r="AE31" s="108">
        <v>47217050</v>
      </c>
      <c r="AF31" s="3">
        <f t="shared" si="4"/>
        <v>5767411</v>
      </c>
    </row>
    <row r="32" spans="1:32" x14ac:dyDescent="0.3">
      <c r="A32" s="254"/>
      <c r="B32" s="268"/>
      <c r="C32" s="2" t="s">
        <v>47</v>
      </c>
      <c r="D32" s="3">
        <v>0</v>
      </c>
      <c r="E32" s="3"/>
      <c r="F32" s="3"/>
      <c r="G32" s="3"/>
      <c r="H32" s="3"/>
      <c r="I32" s="20"/>
      <c r="J32" s="20">
        <f t="shared" si="1"/>
        <v>0</v>
      </c>
      <c r="K32" s="20"/>
      <c r="L32" s="20"/>
      <c r="M32" s="20"/>
      <c r="N32" s="20"/>
      <c r="O32" s="20"/>
      <c r="P32" s="20">
        <f t="shared" si="0"/>
        <v>0</v>
      </c>
      <c r="Q32" s="20"/>
      <c r="R32" s="20"/>
      <c r="S32" s="20"/>
      <c r="T32" s="20"/>
      <c r="U32" s="20"/>
      <c r="V32" s="20">
        <f t="shared" si="2"/>
        <v>0</v>
      </c>
      <c r="W32" s="20"/>
      <c r="X32" s="20"/>
      <c r="Y32" s="20"/>
      <c r="Z32" s="20"/>
      <c r="AA32" s="20"/>
      <c r="AB32" s="20"/>
      <c r="AC32" s="20"/>
      <c r="AD32" s="20">
        <f t="shared" si="3"/>
        <v>0</v>
      </c>
      <c r="AE32" s="108">
        <v>0</v>
      </c>
      <c r="AF32" s="3">
        <f t="shared" si="4"/>
        <v>0</v>
      </c>
    </row>
    <row r="33" spans="1:32" x14ac:dyDescent="0.3">
      <c r="A33" s="254"/>
      <c r="B33" s="268"/>
      <c r="C33" s="209" t="s">
        <v>48</v>
      </c>
      <c r="D33" s="3">
        <v>0</v>
      </c>
      <c r="E33" s="3"/>
      <c r="F33" s="3"/>
      <c r="G33" s="3"/>
      <c r="H33" s="3"/>
      <c r="I33" s="20"/>
      <c r="J33" s="20">
        <f t="shared" si="1"/>
        <v>0</v>
      </c>
      <c r="K33" s="20"/>
      <c r="L33" s="20"/>
      <c r="M33" s="20"/>
      <c r="N33" s="20"/>
      <c r="O33" s="20"/>
      <c r="P33" s="20">
        <f t="shared" si="0"/>
        <v>0</v>
      </c>
      <c r="Q33" s="20"/>
      <c r="R33" s="20"/>
      <c r="S33" s="20"/>
      <c r="T33" s="20"/>
      <c r="U33" s="20"/>
      <c r="V33" s="20">
        <f t="shared" si="2"/>
        <v>0</v>
      </c>
      <c r="W33" s="20"/>
      <c r="X33" s="20"/>
      <c r="Y33" s="20"/>
      <c r="Z33" s="20"/>
      <c r="AA33" s="20"/>
      <c r="AB33" s="20"/>
      <c r="AC33" s="20"/>
      <c r="AD33" s="20">
        <f t="shared" si="3"/>
        <v>0</v>
      </c>
      <c r="AE33" s="108">
        <v>0</v>
      </c>
      <c r="AF33" s="3">
        <f t="shared" si="4"/>
        <v>0</v>
      </c>
    </row>
    <row r="34" spans="1:32" x14ac:dyDescent="0.3">
      <c r="A34" s="254"/>
      <c r="B34" s="268"/>
      <c r="C34" s="2" t="s">
        <v>25</v>
      </c>
      <c r="D34" s="3">
        <v>1480400</v>
      </c>
      <c r="E34" s="3"/>
      <c r="F34" s="3"/>
      <c r="G34" s="3"/>
      <c r="H34" s="3"/>
      <c r="I34" s="20"/>
      <c r="J34" s="20">
        <f t="shared" si="1"/>
        <v>1480400</v>
      </c>
      <c r="K34" s="20"/>
      <c r="L34" s="20"/>
      <c r="M34" s="20"/>
      <c r="N34" s="20"/>
      <c r="O34" s="20"/>
      <c r="P34" s="20">
        <f t="shared" si="0"/>
        <v>1480400</v>
      </c>
      <c r="Q34" s="20">
        <v>540000</v>
      </c>
      <c r="R34" s="20"/>
      <c r="S34" s="20"/>
      <c r="T34" s="20"/>
      <c r="U34" s="20"/>
      <c r="V34" s="20">
        <f t="shared" si="2"/>
        <v>2020400</v>
      </c>
      <c r="W34" s="20">
        <f>-153000-9088</f>
        <v>-162088</v>
      </c>
      <c r="X34" s="20"/>
      <c r="Y34" s="20"/>
      <c r="Z34" s="20"/>
      <c r="AA34" s="20"/>
      <c r="AB34" s="20"/>
      <c r="AC34" s="20"/>
      <c r="AD34" s="20">
        <f t="shared" si="3"/>
        <v>1858312</v>
      </c>
      <c r="AE34" s="108">
        <v>1822512</v>
      </c>
      <c r="AF34" s="3">
        <f t="shared" si="4"/>
        <v>35800</v>
      </c>
    </row>
    <row r="35" spans="1:32" x14ac:dyDescent="0.3">
      <c r="A35" s="254"/>
      <c r="B35" s="268"/>
      <c r="C35" s="2" t="s">
        <v>26</v>
      </c>
      <c r="D35" s="3">
        <v>102891</v>
      </c>
      <c r="E35" s="3"/>
      <c r="F35" s="3"/>
      <c r="G35" s="3"/>
      <c r="H35" s="3"/>
      <c r="I35" s="20"/>
      <c r="J35" s="20">
        <f t="shared" si="1"/>
        <v>102891</v>
      </c>
      <c r="K35" s="20"/>
      <c r="L35" s="20"/>
      <c r="M35" s="20"/>
      <c r="N35" s="20"/>
      <c r="O35" s="20"/>
      <c r="P35" s="20">
        <f t="shared" si="0"/>
        <v>102891</v>
      </c>
      <c r="Q35" s="20"/>
      <c r="R35" s="20"/>
      <c r="S35" s="20"/>
      <c r="T35" s="20"/>
      <c r="U35" s="20"/>
      <c r="V35" s="20">
        <f t="shared" si="2"/>
        <v>102891</v>
      </c>
      <c r="W35" s="20"/>
      <c r="X35" s="20"/>
      <c r="Y35" s="20"/>
      <c r="Z35" s="20"/>
      <c r="AA35" s="20"/>
      <c r="AB35" s="20"/>
      <c r="AC35" s="20"/>
      <c r="AD35" s="20">
        <f t="shared" si="3"/>
        <v>102891</v>
      </c>
      <c r="AE35" s="108">
        <v>87046</v>
      </c>
      <c r="AF35" s="3">
        <f t="shared" si="4"/>
        <v>15845</v>
      </c>
    </row>
    <row r="36" spans="1:32" x14ac:dyDescent="0.3">
      <c r="A36" s="254"/>
      <c r="B36" s="268"/>
      <c r="C36" s="2" t="s">
        <v>27</v>
      </c>
      <c r="D36" s="3">
        <v>1361000</v>
      </c>
      <c r="E36" s="3"/>
      <c r="F36" s="3"/>
      <c r="G36" s="3"/>
      <c r="H36" s="3"/>
      <c r="I36" s="20"/>
      <c r="J36" s="20">
        <f t="shared" si="1"/>
        <v>1361000</v>
      </c>
      <c r="K36" s="20"/>
      <c r="L36" s="20"/>
      <c r="M36" s="20"/>
      <c r="N36" s="20"/>
      <c r="O36" s="20"/>
      <c r="P36" s="20">
        <f t="shared" si="0"/>
        <v>1361000</v>
      </c>
      <c r="Q36" s="20"/>
      <c r="R36" s="20"/>
      <c r="S36" s="20"/>
      <c r="T36" s="20"/>
      <c r="U36" s="20"/>
      <c r="V36" s="20">
        <f t="shared" si="2"/>
        <v>1361000</v>
      </c>
      <c r="W36" s="20"/>
      <c r="X36" s="20"/>
      <c r="Y36" s="20"/>
      <c r="Z36" s="20"/>
      <c r="AA36" s="20"/>
      <c r="AB36" s="20"/>
      <c r="AC36" s="20"/>
      <c r="AD36" s="20">
        <f t="shared" si="3"/>
        <v>1361000</v>
      </c>
      <c r="AE36" s="108">
        <v>582684</v>
      </c>
      <c r="AF36" s="3">
        <f t="shared" si="4"/>
        <v>778316</v>
      </c>
    </row>
    <row r="37" spans="1:32" x14ac:dyDescent="0.3">
      <c r="A37" s="254"/>
      <c r="B37" s="268"/>
      <c r="C37" s="2" t="s">
        <v>28</v>
      </c>
      <c r="D37" s="3">
        <v>185000</v>
      </c>
      <c r="E37" s="3"/>
      <c r="F37" s="3"/>
      <c r="G37" s="3"/>
      <c r="H37" s="3"/>
      <c r="I37" s="20"/>
      <c r="J37" s="20">
        <f t="shared" si="1"/>
        <v>185000</v>
      </c>
      <c r="K37" s="20"/>
      <c r="L37" s="20"/>
      <c r="M37" s="20"/>
      <c r="N37" s="20"/>
      <c r="O37" s="20"/>
      <c r="P37" s="20">
        <f t="shared" si="0"/>
        <v>185000</v>
      </c>
      <c r="Q37" s="20">
        <v>-185000</v>
      </c>
      <c r="R37" s="20"/>
      <c r="S37" s="20"/>
      <c r="T37" s="20"/>
      <c r="U37" s="20"/>
      <c r="V37" s="20">
        <f t="shared" si="2"/>
        <v>0</v>
      </c>
      <c r="W37" s="20"/>
      <c r="X37" s="20"/>
      <c r="Y37" s="20"/>
      <c r="Z37" s="20"/>
      <c r="AA37" s="20"/>
      <c r="AB37" s="20"/>
      <c r="AC37" s="20"/>
      <c r="AD37" s="20">
        <f t="shared" si="3"/>
        <v>0</v>
      </c>
      <c r="AE37" s="108">
        <v>0</v>
      </c>
      <c r="AF37" s="3">
        <f t="shared" si="4"/>
        <v>0</v>
      </c>
    </row>
    <row r="38" spans="1:32" x14ac:dyDescent="0.3">
      <c r="A38" s="254"/>
      <c r="B38" s="268"/>
      <c r="C38" s="2" t="s">
        <v>29</v>
      </c>
      <c r="D38" s="3">
        <v>688200</v>
      </c>
      <c r="E38" s="3">
        <f>561920+95099+92107</f>
        <v>749126</v>
      </c>
      <c r="F38" s="3"/>
      <c r="G38" s="3"/>
      <c r="H38" s="3"/>
      <c r="I38" s="20"/>
      <c r="J38" s="20">
        <f t="shared" si="1"/>
        <v>1437326</v>
      </c>
      <c r="K38" s="20">
        <v>65609</v>
      </c>
      <c r="L38" s="20"/>
      <c r="M38" s="20"/>
      <c r="N38" s="20"/>
      <c r="O38" s="20"/>
      <c r="P38" s="20">
        <f t="shared" si="0"/>
        <v>1502935</v>
      </c>
      <c r="Q38" s="20">
        <v>185000</v>
      </c>
      <c r="R38" s="20"/>
      <c r="S38" s="20"/>
      <c r="T38" s="20"/>
      <c r="U38" s="20"/>
      <c r="V38" s="20">
        <f t="shared" si="2"/>
        <v>1687935</v>
      </c>
      <c r="W38" s="20">
        <v>153000</v>
      </c>
      <c r="X38" s="20"/>
      <c r="Y38" s="20"/>
      <c r="Z38" s="20"/>
      <c r="AA38" s="20"/>
      <c r="AB38" s="20"/>
      <c r="AC38" s="20"/>
      <c r="AD38" s="20">
        <f t="shared" si="3"/>
        <v>1840935</v>
      </c>
      <c r="AE38" s="108">
        <v>1355084</v>
      </c>
      <c r="AF38" s="3">
        <f t="shared" si="4"/>
        <v>485851</v>
      </c>
    </row>
    <row r="39" spans="1:32" x14ac:dyDescent="0.3">
      <c r="A39" s="254"/>
      <c r="B39" s="268"/>
      <c r="C39" s="2" t="s">
        <v>30</v>
      </c>
      <c r="D39" s="3">
        <v>100000</v>
      </c>
      <c r="E39" s="3"/>
      <c r="F39" s="3"/>
      <c r="G39" s="3"/>
      <c r="H39" s="3"/>
      <c r="I39" s="20"/>
      <c r="J39" s="20">
        <f t="shared" si="1"/>
        <v>100000</v>
      </c>
      <c r="K39" s="20"/>
      <c r="L39" s="20"/>
      <c r="M39" s="20"/>
      <c r="N39" s="20"/>
      <c r="O39" s="20"/>
      <c r="P39" s="20">
        <f t="shared" si="0"/>
        <v>100000</v>
      </c>
      <c r="Q39" s="20"/>
      <c r="R39" s="20"/>
      <c r="S39" s="20"/>
      <c r="T39" s="20"/>
      <c r="U39" s="20"/>
      <c r="V39" s="20">
        <f t="shared" si="2"/>
        <v>100000</v>
      </c>
      <c r="W39" s="20">
        <v>-92920</v>
      </c>
      <c r="X39" s="20"/>
      <c r="Y39" s="20"/>
      <c r="Z39" s="20"/>
      <c r="AA39" s="20"/>
      <c r="AB39" s="20"/>
      <c r="AC39" s="20"/>
      <c r="AD39" s="20">
        <f t="shared" si="3"/>
        <v>7080</v>
      </c>
      <c r="AE39" s="108">
        <v>7080</v>
      </c>
      <c r="AF39" s="3">
        <f t="shared" si="4"/>
        <v>0</v>
      </c>
    </row>
    <row r="40" spans="1:32" x14ac:dyDescent="0.3">
      <c r="A40" s="254"/>
      <c r="B40" s="268"/>
      <c r="C40" s="6" t="s">
        <v>53</v>
      </c>
      <c r="D40" s="7">
        <f>SUM(D31:D39)</f>
        <v>59641687</v>
      </c>
      <c r="E40" s="7">
        <f t="shared" ref="E40:AE40" si="7">SUM(E31:E39)</f>
        <v>0</v>
      </c>
      <c r="F40" s="7">
        <f t="shared" si="7"/>
        <v>0</v>
      </c>
      <c r="G40" s="7">
        <f t="shared" si="7"/>
        <v>0</v>
      </c>
      <c r="H40" s="7">
        <f t="shared" si="7"/>
        <v>0</v>
      </c>
      <c r="I40" s="7">
        <f t="shared" si="7"/>
        <v>0</v>
      </c>
      <c r="J40" s="7">
        <f t="shared" si="7"/>
        <v>59641687</v>
      </c>
      <c r="K40" s="7">
        <f t="shared" si="7"/>
        <v>0</v>
      </c>
      <c r="L40" s="7">
        <f t="shared" si="7"/>
        <v>0</v>
      </c>
      <c r="M40" s="7">
        <f t="shared" si="7"/>
        <v>0</v>
      </c>
      <c r="N40" s="7">
        <f t="shared" si="7"/>
        <v>0</v>
      </c>
      <c r="O40" s="7"/>
      <c r="P40" s="7">
        <f t="shared" si="0"/>
        <v>59641687</v>
      </c>
      <c r="Q40" s="7">
        <f>SUM(Q31:Q39)</f>
        <v>-1385000</v>
      </c>
      <c r="R40" s="7">
        <f t="shared" si="7"/>
        <v>0</v>
      </c>
      <c r="S40" s="7">
        <f t="shared" si="7"/>
        <v>0</v>
      </c>
      <c r="T40" s="7">
        <f t="shared" si="7"/>
        <v>0</v>
      </c>
      <c r="U40" s="7">
        <f t="shared" si="7"/>
        <v>0</v>
      </c>
      <c r="V40" s="7">
        <f>SUM(P40:U40)</f>
        <v>58256687</v>
      </c>
      <c r="W40" s="7">
        <f>SUM(W31:W39)</f>
        <v>-102008</v>
      </c>
      <c r="X40" s="7">
        <f t="shared" si="7"/>
        <v>0</v>
      </c>
      <c r="Y40" s="7">
        <f t="shared" si="7"/>
        <v>0</v>
      </c>
      <c r="Z40" s="7">
        <f t="shared" si="7"/>
        <v>0</v>
      </c>
      <c r="AA40" s="7">
        <f t="shared" si="7"/>
        <v>0</v>
      </c>
      <c r="AB40" s="7">
        <f t="shared" si="7"/>
        <v>0</v>
      </c>
      <c r="AC40" s="7">
        <f>SUM(AC31:AC39)</f>
        <v>0</v>
      </c>
      <c r="AD40" s="7">
        <f>SUM(V40:AC40)</f>
        <v>58154679</v>
      </c>
      <c r="AE40" s="110">
        <f t="shared" si="7"/>
        <v>51071456</v>
      </c>
      <c r="AF40" s="110">
        <f t="shared" si="4"/>
        <v>7083223</v>
      </c>
    </row>
    <row r="41" spans="1:32" x14ac:dyDescent="0.3">
      <c r="A41" s="254"/>
      <c r="B41" s="268"/>
      <c r="C41" s="82" t="s">
        <v>31</v>
      </c>
      <c r="D41" s="83">
        <v>9241170</v>
      </c>
      <c r="E41" s="83"/>
      <c r="F41" s="83"/>
      <c r="G41" s="83"/>
      <c r="H41" s="83"/>
      <c r="I41" s="191"/>
      <c r="J41" s="84">
        <f t="shared" si="1"/>
        <v>9241170</v>
      </c>
      <c r="K41" s="84"/>
      <c r="L41" s="84"/>
      <c r="M41" s="84"/>
      <c r="N41" s="84"/>
      <c r="O41" s="84"/>
      <c r="P41" s="84">
        <f t="shared" si="0"/>
        <v>9241170</v>
      </c>
      <c r="Q41" s="84"/>
      <c r="R41" s="84"/>
      <c r="S41" s="84"/>
      <c r="T41" s="84"/>
      <c r="U41" s="84"/>
      <c r="V41" s="84">
        <f>SUM(P41:U41)</f>
        <v>9241170</v>
      </c>
      <c r="W41" s="84"/>
      <c r="X41" s="84"/>
      <c r="Y41" s="84"/>
      <c r="Z41" s="84"/>
      <c r="AA41" s="84"/>
      <c r="AB41" s="84"/>
      <c r="AC41" s="84"/>
      <c r="AD41" s="84">
        <f t="shared" si="3"/>
        <v>9241170</v>
      </c>
      <c r="AE41" s="111">
        <v>7516806</v>
      </c>
      <c r="AF41" s="111">
        <f t="shared" si="4"/>
        <v>1724364</v>
      </c>
    </row>
    <row r="42" spans="1:32" x14ac:dyDescent="0.3">
      <c r="A42" s="254"/>
      <c r="B42" s="268"/>
      <c r="C42" s="2" t="s">
        <v>32</v>
      </c>
      <c r="D42" s="3">
        <v>107000</v>
      </c>
      <c r="E42" s="3"/>
      <c r="F42" s="3"/>
      <c r="G42" s="3"/>
      <c r="H42" s="3"/>
      <c r="I42" s="20"/>
      <c r="J42" s="20">
        <f t="shared" si="1"/>
        <v>107000</v>
      </c>
      <c r="K42" s="20"/>
      <c r="L42" s="20"/>
      <c r="M42" s="20"/>
      <c r="N42" s="20"/>
      <c r="O42" s="20"/>
      <c r="P42" s="20">
        <f t="shared" si="0"/>
        <v>107000</v>
      </c>
      <c r="Q42" s="20"/>
      <c r="R42" s="20"/>
      <c r="S42" s="20"/>
      <c r="T42" s="20"/>
      <c r="U42" s="20"/>
      <c r="V42" s="20">
        <f t="shared" si="2"/>
        <v>107000</v>
      </c>
      <c r="W42" s="20"/>
      <c r="X42" s="20"/>
      <c r="Y42" s="20"/>
      <c r="Z42" s="20"/>
      <c r="AA42" s="20"/>
      <c r="AB42" s="20"/>
      <c r="AC42" s="20"/>
      <c r="AD42" s="20">
        <f t="shared" si="3"/>
        <v>107000</v>
      </c>
      <c r="AE42" s="108">
        <v>4829</v>
      </c>
      <c r="AF42" s="3">
        <f t="shared" si="4"/>
        <v>102171</v>
      </c>
    </row>
    <row r="43" spans="1:32" x14ac:dyDescent="0.3">
      <c r="A43" s="254"/>
      <c r="B43" s="268"/>
      <c r="C43" s="2" t="s">
        <v>33</v>
      </c>
      <c r="D43" s="3">
        <f>400000+20000</f>
        <v>420000</v>
      </c>
      <c r="E43" s="3"/>
      <c r="F43" s="3"/>
      <c r="G43" s="3"/>
      <c r="H43" s="3"/>
      <c r="I43" s="20"/>
      <c r="J43" s="20">
        <f t="shared" si="1"/>
        <v>420000</v>
      </c>
      <c r="K43" s="20"/>
      <c r="L43" s="20"/>
      <c r="M43" s="20"/>
      <c r="N43" s="20"/>
      <c r="O43" s="20"/>
      <c r="P43" s="20">
        <f t="shared" si="0"/>
        <v>420000</v>
      </c>
      <c r="Q43" s="20"/>
      <c r="R43" s="20"/>
      <c r="S43" s="20"/>
      <c r="T43" s="20"/>
      <c r="U43" s="20"/>
      <c r="V43" s="20">
        <f t="shared" si="2"/>
        <v>420000</v>
      </c>
      <c r="W43" s="20"/>
      <c r="X43" s="20"/>
      <c r="Y43" s="20"/>
      <c r="Z43" s="20"/>
      <c r="AA43" s="20"/>
      <c r="AB43" s="20"/>
      <c r="AC43" s="20"/>
      <c r="AD43" s="20">
        <f t="shared" si="3"/>
        <v>420000</v>
      </c>
      <c r="AE43" s="108">
        <v>130430</v>
      </c>
      <c r="AF43" s="3">
        <f t="shared" si="4"/>
        <v>289570</v>
      </c>
    </row>
    <row r="44" spans="1:32" x14ac:dyDescent="0.3">
      <c r="A44" s="254"/>
      <c r="B44" s="268"/>
      <c r="C44" s="2" t="s">
        <v>34</v>
      </c>
      <c r="D44" s="3">
        <v>220898</v>
      </c>
      <c r="E44" s="3"/>
      <c r="F44" s="3"/>
      <c r="G44" s="3"/>
      <c r="H44" s="3"/>
      <c r="I44" s="20"/>
      <c r="J44" s="20">
        <f t="shared" si="1"/>
        <v>220898</v>
      </c>
      <c r="K44" s="20"/>
      <c r="L44" s="20"/>
      <c r="M44" s="20"/>
      <c r="N44" s="20"/>
      <c r="O44" s="20"/>
      <c r="P44" s="20">
        <f t="shared" si="0"/>
        <v>220898</v>
      </c>
      <c r="Q44" s="20"/>
      <c r="R44" s="20"/>
      <c r="S44" s="20"/>
      <c r="T44" s="20"/>
      <c r="U44" s="20"/>
      <c r="V44" s="20">
        <f t="shared" si="2"/>
        <v>220898</v>
      </c>
      <c r="W44" s="20">
        <v>-8430</v>
      </c>
      <c r="X44" s="20"/>
      <c r="Y44" s="20"/>
      <c r="Z44" s="20"/>
      <c r="AA44" s="20"/>
      <c r="AB44" s="20"/>
      <c r="AC44" s="20"/>
      <c r="AD44" s="20">
        <f t="shared" si="3"/>
        <v>212468</v>
      </c>
      <c r="AE44" s="108">
        <v>170846</v>
      </c>
      <c r="AF44" s="3">
        <f t="shared" si="4"/>
        <v>41622</v>
      </c>
    </row>
    <row r="45" spans="1:32" x14ac:dyDescent="0.3">
      <c r="A45" s="254"/>
      <c r="B45" s="268"/>
      <c r="C45" s="2" t="s">
        <v>35</v>
      </c>
      <c r="D45" s="3">
        <v>153895</v>
      </c>
      <c r="E45" s="3"/>
      <c r="F45" s="3"/>
      <c r="G45" s="3"/>
      <c r="H45" s="3"/>
      <c r="I45" s="20"/>
      <c r="J45" s="20">
        <f t="shared" si="1"/>
        <v>153895</v>
      </c>
      <c r="K45" s="20"/>
      <c r="L45" s="20"/>
      <c r="M45" s="20"/>
      <c r="N45" s="20"/>
      <c r="O45" s="20"/>
      <c r="P45" s="20">
        <f t="shared" si="0"/>
        <v>153895</v>
      </c>
      <c r="Q45" s="20"/>
      <c r="R45" s="20"/>
      <c r="S45" s="20"/>
      <c r="T45" s="20"/>
      <c r="U45" s="20"/>
      <c r="V45" s="20">
        <f t="shared" si="2"/>
        <v>153895</v>
      </c>
      <c r="W45" s="20">
        <v>3832</v>
      </c>
      <c r="X45" s="20"/>
      <c r="Y45" s="20"/>
      <c r="Z45" s="20"/>
      <c r="AA45" s="20"/>
      <c r="AB45" s="20"/>
      <c r="AC45" s="20"/>
      <c r="AD45" s="20">
        <f t="shared" ref="AD45:AD109" si="8">SUM(V45:AC45)</f>
        <v>157727</v>
      </c>
      <c r="AE45" s="108">
        <v>61552</v>
      </c>
      <c r="AF45" s="3">
        <f t="shared" si="4"/>
        <v>96175</v>
      </c>
    </row>
    <row r="46" spans="1:32" x14ac:dyDescent="0.3">
      <c r="A46" s="254"/>
      <c r="B46" s="268"/>
      <c r="C46" s="2" t="s">
        <v>195</v>
      </c>
      <c r="D46" s="3">
        <v>815942</v>
      </c>
      <c r="E46" s="3"/>
      <c r="F46" s="3"/>
      <c r="G46" s="3"/>
      <c r="H46" s="3"/>
      <c r="I46" s="20"/>
      <c r="J46" s="20">
        <f t="shared" si="1"/>
        <v>815942</v>
      </c>
      <c r="K46" s="20">
        <v>-25000</v>
      </c>
      <c r="L46" s="20"/>
      <c r="M46" s="20"/>
      <c r="N46" s="20"/>
      <c r="O46" s="20"/>
      <c r="P46" s="20">
        <f t="shared" si="0"/>
        <v>790942</v>
      </c>
      <c r="Q46" s="20">
        <v>-7675</v>
      </c>
      <c r="R46" s="20"/>
      <c r="S46" s="20"/>
      <c r="T46" s="20"/>
      <c r="U46" s="20"/>
      <c r="V46" s="20">
        <f t="shared" si="2"/>
        <v>783267</v>
      </c>
      <c r="W46" s="20">
        <f>2656+70070</f>
        <v>72726</v>
      </c>
      <c r="X46" s="20"/>
      <c r="Y46" s="20"/>
      <c r="Z46" s="20"/>
      <c r="AA46" s="20"/>
      <c r="AB46" s="20"/>
      <c r="AC46" s="20"/>
      <c r="AD46" s="20">
        <f t="shared" si="8"/>
        <v>855993</v>
      </c>
      <c r="AE46" s="108">
        <v>855993</v>
      </c>
      <c r="AF46" s="3">
        <f t="shared" si="4"/>
        <v>0</v>
      </c>
    </row>
    <row r="47" spans="1:32" x14ac:dyDescent="0.3">
      <c r="A47" s="254"/>
      <c r="B47" s="268"/>
      <c r="C47" s="2" t="s">
        <v>196</v>
      </c>
      <c r="D47" s="3">
        <v>16000</v>
      </c>
      <c r="E47" s="3"/>
      <c r="F47" s="3"/>
      <c r="G47" s="3"/>
      <c r="H47" s="3"/>
      <c r="I47" s="20"/>
      <c r="J47" s="20">
        <f t="shared" si="1"/>
        <v>16000</v>
      </c>
      <c r="K47" s="20">
        <f>26000-5000</f>
        <v>21000</v>
      </c>
      <c r="L47" s="20"/>
      <c r="M47" s="20"/>
      <c r="N47" s="20"/>
      <c r="O47" s="20"/>
      <c r="P47" s="20">
        <f t="shared" si="0"/>
        <v>37000</v>
      </c>
      <c r="Q47" s="20"/>
      <c r="R47" s="20"/>
      <c r="S47" s="20"/>
      <c r="T47" s="20"/>
      <c r="U47" s="20"/>
      <c r="V47" s="20">
        <f t="shared" si="2"/>
        <v>37000</v>
      </c>
      <c r="W47" s="20">
        <v>-3493</v>
      </c>
      <c r="X47" s="20"/>
      <c r="Y47" s="20"/>
      <c r="Z47" s="20"/>
      <c r="AA47" s="20"/>
      <c r="AB47" s="20"/>
      <c r="AC47" s="20"/>
      <c r="AD47" s="20">
        <f t="shared" si="8"/>
        <v>33507</v>
      </c>
      <c r="AE47" s="108">
        <v>27622</v>
      </c>
      <c r="AF47" s="3">
        <f t="shared" si="4"/>
        <v>5885</v>
      </c>
    </row>
    <row r="48" spans="1:32" x14ac:dyDescent="0.3">
      <c r="A48" s="254"/>
      <c r="B48" s="268"/>
      <c r="C48" s="2" t="s">
        <v>37</v>
      </c>
      <c r="D48" s="3">
        <v>25000</v>
      </c>
      <c r="E48" s="3"/>
      <c r="F48" s="3"/>
      <c r="G48" s="3"/>
      <c r="H48" s="3"/>
      <c r="I48" s="20"/>
      <c r="J48" s="20">
        <f t="shared" si="1"/>
        <v>25000</v>
      </c>
      <c r="K48" s="20"/>
      <c r="L48" s="20"/>
      <c r="M48" s="20"/>
      <c r="N48" s="20"/>
      <c r="O48" s="20"/>
      <c r="P48" s="20">
        <f t="shared" si="0"/>
        <v>25000</v>
      </c>
      <c r="Q48" s="20"/>
      <c r="R48" s="20"/>
      <c r="S48" s="20"/>
      <c r="T48" s="20"/>
      <c r="U48" s="20"/>
      <c r="V48" s="20">
        <f t="shared" si="2"/>
        <v>25000</v>
      </c>
      <c r="W48" s="20"/>
      <c r="X48" s="20"/>
      <c r="Y48" s="20"/>
      <c r="Z48" s="20"/>
      <c r="AA48" s="20"/>
      <c r="AB48" s="20"/>
      <c r="AC48" s="20"/>
      <c r="AD48" s="20">
        <f t="shared" si="8"/>
        <v>25000</v>
      </c>
      <c r="AE48" s="108">
        <v>0</v>
      </c>
      <c r="AF48" s="3">
        <f t="shared" si="4"/>
        <v>25000</v>
      </c>
    </row>
    <row r="49" spans="1:32" x14ac:dyDescent="0.3">
      <c r="A49" s="254"/>
      <c r="B49" s="268"/>
      <c r="C49" s="2" t="s">
        <v>38</v>
      </c>
      <c r="D49" s="3">
        <v>160000</v>
      </c>
      <c r="E49" s="3"/>
      <c r="F49" s="3"/>
      <c r="G49" s="3"/>
      <c r="H49" s="3"/>
      <c r="I49" s="20"/>
      <c r="J49" s="20">
        <f t="shared" si="1"/>
        <v>160000</v>
      </c>
      <c r="K49" s="20"/>
      <c r="L49" s="20"/>
      <c r="M49" s="20"/>
      <c r="N49" s="20"/>
      <c r="O49" s="20"/>
      <c r="P49" s="20">
        <f t="shared" si="0"/>
        <v>160000</v>
      </c>
      <c r="Q49" s="20"/>
      <c r="R49" s="20"/>
      <c r="S49" s="20"/>
      <c r="T49" s="20"/>
      <c r="U49" s="20"/>
      <c r="V49" s="20">
        <f t="shared" si="2"/>
        <v>160000</v>
      </c>
      <c r="W49" s="20"/>
      <c r="X49" s="20"/>
      <c r="Y49" s="20"/>
      <c r="Z49" s="20"/>
      <c r="AA49" s="20"/>
      <c r="AB49" s="20"/>
      <c r="AC49" s="20"/>
      <c r="AD49" s="20">
        <f t="shared" si="8"/>
        <v>160000</v>
      </c>
      <c r="AE49" s="108">
        <v>38500</v>
      </c>
      <c r="AF49" s="3">
        <f t="shared" si="4"/>
        <v>121500</v>
      </c>
    </row>
    <row r="50" spans="1:32" x14ac:dyDescent="0.3">
      <c r="A50" s="254"/>
      <c r="B50" s="268"/>
      <c r="C50" s="2" t="s">
        <v>39</v>
      </c>
      <c r="D50" s="3">
        <v>4000</v>
      </c>
      <c r="E50" s="3"/>
      <c r="F50" s="3"/>
      <c r="G50" s="3"/>
      <c r="H50" s="3"/>
      <c r="I50" s="20"/>
      <c r="J50" s="20">
        <f t="shared" si="1"/>
        <v>4000</v>
      </c>
      <c r="K50" s="20"/>
      <c r="L50" s="20"/>
      <c r="M50" s="20"/>
      <c r="N50" s="20"/>
      <c r="O50" s="20"/>
      <c r="P50" s="20">
        <f t="shared" si="0"/>
        <v>4000</v>
      </c>
      <c r="Q50" s="20"/>
      <c r="R50" s="20"/>
      <c r="S50" s="20"/>
      <c r="T50" s="20"/>
      <c r="U50" s="20"/>
      <c r="V50" s="20">
        <f t="shared" si="2"/>
        <v>4000</v>
      </c>
      <c r="W50" s="20">
        <v>-1505</v>
      </c>
      <c r="X50" s="20"/>
      <c r="Y50" s="20"/>
      <c r="Z50" s="20"/>
      <c r="AA50" s="20"/>
      <c r="AB50" s="20"/>
      <c r="AC50" s="20"/>
      <c r="AD50" s="20">
        <f t="shared" si="8"/>
        <v>2495</v>
      </c>
      <c r="AE50" s="108">
        <v>2495</v>
      </c>
      <c r="AF50" s="3">
        <f t="shared" si="4"/>
        <v>0</v>
      </c>
    </row>
    <row r="51" spans="1:32" x14ac:dyDescent="0.3">
      <c r="A51" s="254"/>
      <c r="B51" s="268"/>
      <c r="C51" s="2" t="s">
        <v>40</v>
      </c>
      <c r="D51" s="3">
        <f>463050+60000</f>
        <v>523050</v>
      </c>
      <c r="E51" s="3"/>
      <c r="F51" s="3"/>
      <c r="G51" s="3"/>
      <c r="H51" s="3"/>
      <c r="I51" s="20"/>
      <c r="J51" s="20">
        <f t="shared" si="1"/>
        <v>523050</v>
      </c>
      <c r="K51" s="20"/>
      <c r="L51" s="20"/>
      <c r="M51" s="20"/>
      <c r="N51" s="20"/>
      <c r="O51" s="20"/>
      <c r="P51" s="20">
        <f t="shared" si="0"/>
        <v>523050</v>
      </c>
      <c r="Q51" s="20"/>
      <c r="R51" s="20"/>
      <c r="S51" s="20"/>
      <c r="T51" s="20"/>
      <c r="U51" s="20"/>
      <c r="V51" s="20">
        <f t="shared" si="2"/>
        <v>523050</v>
      </c>
      <c r="W51" s="20"/>
      <c r="X51" s="20"/>
      <c r="Y51" s="20"/>
      <c r="Z51" s="20"/>
      <c r="AA51" s="20"/>
      <c r="AB51" s="20"/>
      <c r="AC51" s="20"/>
      <c r="AD51" s="20">
        <f t="shared" si="8"/>
        <v>523050</v>
      </c>
      <c r="AE51" s="108">
        <v>183100</v>
      </c>
      <c r="AF51" s="3">
        <f t="shared" si="4"/>
        <v>339950</v>
      </c>
    </row>
    <row r="52" spans="1:32" x14ac:dyDescent="0.3">
      <c r="A52" s="254"/>
      <c r="B52" s="268"/>
      <c r="C52" s="2" t="s">
        <v>41</v>
      </c>
      <c r="D52" s="3">
        <f>1299942+43200</f>
        <v>1343142</v>
      </c>
      <c r="E52" s="3"/>
      <c r="F52" s="3"/>
      <c r="G52" s="3"/>
      <c r="H52" s="3"/>
      <c r="I52" s="20"/>
      <c r="J52" s="20">
        <f t="shared" si="1"/>
        <v>1343142</v>
      </c>
      <c r="K52" s="20">
        <f>-945-26000</f>
        <v>-26945</v>
      </c>
      <c r="L52" s="20"/>
      <c r="M52" s="20"/>
      <c r="N52" s="20"/>
      <c r="O52" s="20"/>
      <c r="P52" s="20">
        <f t="shared" si="0"/>
        <v>1316197</v>
      </c>
      <c r="Q52" s="20"/>
      <c r="R52" s="20"/>
      <c r="S52" s="20"/>
      <c r="T52" s="20"/>
      <c r="U52" s="20"/>
      <c r="V52" s="20">
        <f t="shared" si="2"/>
        <v>1316197</v>
      </c>
      <c r="W52" s="20">
        <v>1505</v>
      </c>
      <c r="X52" s="20">
        <v>43464</v>
      </c>
      <c r="Y52" s="20"/>
      <c r="Z52" s="20"/>
      <c r="AA52" s="20"/>
      <c r="AB52" s="20"/>
      <c r="AC52" s="20"/>
      <c r="AD52" s="20">
        <f t="shared" si="8"/>
        <v>1361166</v>
      </c>
      <c r="AE52" s="108">
        <v>1060307</v>
      </c>
      <c r="AF52" s="3">
        <f t="shared" si="4"/>
        <v>300859</v>
      </c>
    </row>
    <row r="53" spans="1:32" x14ac:dyDescent="0.3">
      <c r="A53" s="254"/>
      <c r="B53" s="268"/>
      <c r="C53" s="2" t="s">
        <v>42</v>
      </c>
      <c r="D53" s="3">
        <f>350000+100000</f>
        <v>450000</v>
      </c>
      <c r="E53" s="3"/>
      <c r="F53" s="3"/>
      <c r="G53" s="3"/>
      <c r="H53" s="3"/>
      <c r="I53" s="20"/>
      <c r="J53" s="20">
        <f t="shared" si="1"/>
        <v>450000</v>
      </c>
      <c r="K53" s="20"/>
      <c r="L53" s="20"/>
      <c r="M53" s="20"/>
      <c r="N53" s="20"/>
      <c r="O53" s="20"/>
      <c r="P53" s="20">
        <f t="shared" si="0"/>
        <v>450000</v>
      </c>
      <c r="Q53" s="20">
        <v>-40000</v>
      </c>
      <c r="R53" s="20"/>
      <c r="S53" s="20"/>
      <c r="T53" s="20"/>
      <c r="U53" s="20"/>
      <c r="V53" s="20">
        <f t="shared" si="2"/>
        <v>410000</v>
      </c>
      <c r="W53" s="20">
        <v>-93286</v>
      </c>
      <c r="X53" s="20"/>
      <c r="Y53" s="20"/>
      <c r="Z53" s="20"/>
      <c r="AA53" s="20"/>
      <c r="AB53" s="20"/>
      <c r="AC53" s="20"/>
      <c r="AD53" s="20">
        <f t="shared" si="8"/>
        <v>316714</v>
      </c>
      <c r="AE53" s="108">
        <v>299604</v>
      </c>
      <c r="AF53" s="3">
        <f t="shared" si="4"/>
        <v>17110</v>
      </c>
    </row>
    <row r="54" spans="1:32" x14ac:dyDescent="0.3">
      <c r="A54" s="254"/>
      <c r="B54" s="268"/>
      <c r="C54" s="2" t="s">
        <v>43</v>
      </c>
      <c r="D54" s="3">
        <v>30000</v>
      </c>
      <c r="E54" s="3"/>
      <c r="F54" s="3"/>
      <c r="G54" s="3"/>
      <c r="H54" s="3"/>
      <c r="I54" s="20"/>
      <c r="J54" s="20">
        <f t="shared" si="1"/>
        <v>30000</v>
      </c>
      <c r="K54" s="20"/>
      <c r="L54" s="20"/>
      <c r="M54" s="20"/>
      <c r="N54" s="20"/>
      <c r="O54" s="20"/>
      <c r="P54" s="20">
        <f t="shared" si="0"/>
        <v>30000</v>
      </c>
      <c r="Q54" s="20"/>
      <c r="R54" s="20"/>
      <c r="S54" s="20"/>
      <c r="T54" s="20"/>
      <c r="U54" s="20"/>
      <c r="V54" s="20">
        <f t="shared" si="2"/>
        <v>30000</v>
      </c>
      <c r="W54" s="20"/>
      <c r="X54" s="20"/>
      <c r="Y54" s="20"/>
      <c r="Z54" s="20"/>
      <c r="AA54" s="20"/>
      <c r="AB54" s="20"/>
      <c r="AC54" s="20"/>
      <c r="AD54" s="20">
        <f t="shared" si="8"/>
        <v>30000</v>
      </c>
      <c r="AE54" s="108">
        <v>0</v>
      </c>
      <c r="AF54" s="3">
        <f t="shared" si="4"/>
        <v>30000</v>
      </c>
    </row>
    <row r="55" spans="1:32" x14ac:dyDescent="0.3">
      <c r="A55" s="254"/>
      <c r="B55" s="268"/>
      <c r="C55" s="2" t="s">
        <v>44</v>
      </c>
      <c r="D55" s="3">
        <f>588459+5400</f>
        <v>593859</v>
      </c>
      <c r="E55" s="3"/>
      <c r="F55" s="3"/>
      <c r="G55" s="3"/>
      <c r="H55" s="3"/>
      <c r="I55" s="20"/>
      <c r="J55" s="20">
        <f t="shared" si="1"/>
        <v>593859</v>
      </c>
      <c r="K55" s="20"/>
      <c r="L55" s="20"/>
      <c r="M55" s="20"/>
      <c r="N55" s="20"/>
      <c r="O55" s="20"/>
      <c r="P55" s="20">
        <f t="shared" si="0"/>
        <v>593859</v>
      </c>
      <c r="Q55" s="20"/>
      <c r="R55" s="20"/>
      <c r="S55" s="20"/>
      <c r="T55" s="20"/>
      <c r="U55" s="20"/>
      <c r="V55" s="20">
        <f t="shared" si="2"/>
        <v>593859</v>
      </c>
      <c r="W55" s="20"/>
      <c r="X55" s="20">
        <v>11735</v>
      </c>
      <c r="Y55" s="20"/>
      <c r="Z55" s="20"/>
      <c r="AA55" s="20"/>
      <c r="AB55" s="20"/>
      <c r="AC55" s="20"/>
      <c r="AD55" s="20">
        <f t="shared" si="8"/>
        <v>605594</v>
      </c>
      <c r="AE55" s="108">
        <v>307698</v>
      </c>
      <c r="AF55" s="3">
        <f t="shared" si="4"/>
        <v>297896</v>
      </c>
    </row>
    <row r="56" spans="1:32" x14ac:dyDescent="0.3">
      <c r="A56" s="254"/>
      <c r="B56" s="268"/>
      <c r="C56" s="2" t="s">
        <v>45</v>
      </c>
      <c r="D56" s="3">
        <v>30932</v>
      </c>
      <c r="E56" s="3"/>
      <c r="F56" s="3"/>
      <c r="G56" s="3"/>
      <c r="H56" s="3"/>
      <c r="I56" s="20"/>
      <c r="J56" s="20">
        <f t="shared" si="1"/>
        <v>30932</v>
      </c>
      <c r="K56" s="20"/>
      <c r="L56" s="20"/>
      <c r="M56" s="20"/>
      <c r="N56" s="20"/>
      <c r="O56" s="20"/>
      <c r="P56" s="20">
        <f t="shared" si="0"/>
        <v>30932</v>
      </c>
      <c r="Q56" s="20"/>
      <c r="R56" s="20"/>
      <c r="S56" s="20"/>
      <c r="T56" s="20"/>
      <c r="U56" s="20"/>
      <c r="V56" s="20">
        <f t="shared" si="2"/>
        <v>30932</v>
      </c>
      <c r="W56" s="20">
        <v>1942</v>
      </c>
      <c r="X56" s="20"/>
      <c r="Y56" s="20"/>
      <c r="Z56" s="20"/>
      <c r="AA56" s="20"/>
      <c r="AB56" s="20"/>
      <c r="AC56" s="20"/>
      <c r="AD56" s="20">
        <f>SUM(V56:AC56)</f>
        <v>32874</v>
      </c>
      <c r="AE56" s="108">
        <v>31898</v>
      </c>
      <c r="AF56" s="3">
        <f t="shared" si="4"/>
        <v>976</v>
      </c>
    </row>
    <row r="57" spans="1:32" x14ac:dyDescent="0.3">
      <c r="A57" s="254"/>
      <c r="B57" s="268"/>
      <c r="C57" s="6" t="s">
        <v>49</v>
      </c>
      <c r="D57" s="7">
        <f>SUM(D42:D56)</f>
        <v>4893718</v>
      </c>
      <c r="E57" s="7">
        <f t="shared" ref="E57:N57" si="9">SUM(E42:E56)</f>
        <v>0</v>
      </c>
      <c r="F57" s="7">
        <f t="shared" si="9"/>
        <v>0</v>
      </c>
      <c r="G57" s="7">
        <f t="shared" si="9"/>
        <v>0</v>
      </c>
      <c r="H57" s="7">
        <f t="shared" si="9"/>
        <v>0</v>
      </c>
      <c r="I57" s="7">
        <f t="shared" si="9"/>
        <v>0</v>
      </c>
      <c r="J57" s="7">
        <f t="shared" si="9"/>
        <v>4893718</v>
      </c>
      <c r="K57" s="7">
        <f t="shared" si="9"/>
        <v>-30945</v>
      </c>
      <c r="L57" s="7">
        <f t="shared" si="9"/>
        <v>0</v>
      </c>
      <c r="M57" s="7">
        <f t="shared" si="9"/>
        <v>0</v>
      </c>
      <c r="N57" s="7">
        <f t="shared" si="9"/>
        <v>0</v>
      </c>
      <c r="O57" s="7"/>
      <c r="P57" s="7">
        <f t="shared" si="0"/>
        <v>4862773</v>
      </c>
      <c r="Q57" s="7">
        <f>SUM(Q42:Q56)</f>
        <v>-47675</v>
      </c>
      <c r="R57" s="7">
        <f t="shared" ref="R57:U57" si="10">SUM(R42:R56)</f>
        <v>0</v>
      </c>
      <c r="S57" s="7">
        <f t="shared" si="10"/>
        <v>0</v>
      </c>
      <c r="T57" s="7">
        <f t="shared" si="10"/>
        <v>0</v>
      </c>
      <c r="U57" s="7">
        <f t="shared" si="10"/>
        <v>0</v>
      </c>
      <c r="V57" s="7">
        <f t="shared" si="2"/>
        <v>4815098</v>
      </c>
      <c r="W57" s="7">
        <f>SUM(W42:W56)</f>
        <v>-26709</v>
      </c>
      <c r="X57" s="7">
        <f t="shared" ref="X57:AC57" si="11">SUM(X42:X56)</f>
        <v>55199</v>
      </c>
      <c r="Y57" s="7">
        <f t="shared" ref="Y57" si="12">SUM(Y42:Y56)</f>
        <v>0</v>
      </c>
      <c r="Z57" s="7">
        <f t="shared" ref="Z57" si="13">SUM(Z42:Z56)</f>
        <v>0</v>
      </c>
      <c r="AA57" s="7">
        <f t="shared" si="11"/>
        <v>0</v>
      </c>
      <c r="AB57" s="7">
        <f t="shared" si="11"/>
        <v>0</v>
      </c>
      <c r="AC57" s="7">
        <f t="shared" si="11"/>
        <v>0</v>
      </c>
      <c r="AD57" s="7">
        <f t="shared" si="8"/>
        <v>4843588</v>
      </c>
      <c r="AE57" s="110">
        <f>SUM(AE42:AE56)</f>
        <v>3174874</v>
      </c>
      <c r="AF57" s="110">
        <f t="shared" si="4"/>
        <v>1668714</v>
      </c>
    </row>
    <row r="58" spans="1:32" s="250" customFormat="1" x14ac:dyDescent="0.3">
      <c r="A58" s="254"/>
      <c r="B58" s="268"/>
      <c r="C58" s="251" t="s">
        <v>56</v>
      </c>
      <c r="D58" s="252"/>
      <c r="E58" s="252"/>
      <c r="F58" s="252"/>
      <c r="G58" s="252"/>
      <c r="H58" s="252"/>
      <c r="I58" s="253"/>
      <c r="J58" s="253"/>
      <c r="K58" s="253"/>
      <c r="L58" s="253"/>
      <c r="M58" s="253"/>
      <c r="N58" s="253"/>
      <c r="O58" s="253"/>
      <c r="P58" s="253">
        <v>0</v>
      </c>
      <c r="Q58" s="253">
        <v>98425</v>
      </c>
      <c r="R58" s="253"/>
      <c r="S58" s="253"/>
      <c r="T58" s="253"/>
      <c r="U58" s="253"/>
      <c r="V58" s="20">
        <f t="shared" si="2"/>
        <v>98425</v>
      </c>
      <c r="W58" s="253"/>
      <c r="X58" s="253"/>
      <c r="Y58" s="253"/>
      <c r="Z58" s="253"/>
      <c r="AA58" s="253"/>
      <c r="AB58" s="253"/>
      <c r="AC58" s="253"/>
      <c r="AD58" s="20">
        <f t="shared" si="8"/>
        <v>98425</v>
      </c>
      <c r="AE58" s="114">
        <v>98425</v>
      </c>
      <c r="AF58" s="3">
        <f t="shared" si="4"/>
        <v>0</v>
      </c>
    </row>
    <row r="59" spans="1:32" x14ac:dyDescent="0.3">
      <c r="A59" s="254"/>
      <c r="B59" s="268"/>
      <c r="C59" s="2" t="s">
        <v>50</v>
      </c>
      <c r="D59" s="3">
        <v>98425</v>
      </c>
      <c r="E59" s="3"/>
      <c r="F59" s="3"/>
      <c r="G59" s="3"/>
      <c r="H59" s="3"/>
      <c r="I59" s="20"/>
      <c r="J59" s="20">
        <f t="shared" si="1"/>
        <v>98425</v>
      </c>
      <c r="K59" s="20">
        <v>744</v>
      </c>
      <c r="L59" s="20"/>
      <c r="M59" s="20"/>
      <c r="N59" s="20"/>
      <c r="O59" s="20"/>
      <c r="P59" s="20">
        <f t="shared" si="0"/>
        <v>99169</v>
      </c>
      <c r="Q59" s="20">
        <v>-98425</v>
      </c>
      <c r="R59" s="20"/>
      <c r="S59" s="20"/>
      <c r="T59" s="20"/>
      <c r="U59" s="20"/>
      <c r="V59" s="20">
        <f t="shared" si="2"/>
        <v>744</v>
      </c>
      <c r="W59" s="20"/>
      <c r="X59" s="20"/>
      <c r="Y59" s="20"/>
      <c r="Z59" s="20"/>
      <c r="AA59" s="20"/>
      <c r="AB59" s="20"/>
      <c r="AC59" s="20"/>
      <c r="AD59" s="20">
        <f t="shared" si="8"/>
        <v>744</v>
      </c>
      <c r="AE59" s="108">
        <v>0</v>
      </c>
      <c r="AF59" s="3">
        <f t="shared" si="4"/>
        <v>744</v>
      </c>
    </row>
    <row r="60" spans="1:32" x14ac:dyDescent="0.3">
      <c r="A60" s="254"/>
      <c r="B60" s="268"/>
      <c r="C60" s="2" t="s">
        <v>51</v>
      </c>
      <c r="D60" s="3">
        <v>26575</v>
      </c>
      <c r="E60" s="3"/>
      <c r="F60" s="3"/>
      <c r="G60" s="3"/>
      <c r="H60" s="3"/>
      <c r="I60" s="20"/>
      <c r="J60" s="20">
        <f t="shared" si="1"/>
        <v>26575</v>
      </c>
      <c r="K60" s="20">
        <v>201</v>
      </c>
      <c r="L60" s="20"/>
      <c r="M60" s="20"/>
      <c r="N60" s="20"/>
      <c r="O60" s="20"/>
      <c r="P60" s="20">
        <f t="shared" si="0"/>
        <v>26776</v>
      </c>
      <c r="Q60" s="20"/>
      <c r="R60" s="20"/>
      <c r="S60" s="20"/>
      <c r="T60" s="20"/>
      <c r="U60" s="20"/>
      <c r="V60" s="20">
        <f t="shared" si="2"/>
        <v>26776</v>
      </c>
      <c r="W60" s="20"/>
      <c r="X60" s="20"/>
      <c r="Y60" s="20"/>
      <c r="Z60" s="20"/>
      <c r="AA60" s="20"/>
      <c r="AB60" s="20"/>
      <c r="AC60" s="20"/>
      <c r="AD60" s="20">
        <f t="shared" si="8"/>
        <v>26776</v>
      </c>
      <c r="AE60" s="108">
        <v>26575</v>
      </c>
      <c r="AF60" s="3">
        <f t="shared" si="4"/>
        <v>201</v>
      </c>
    </row>
    <row r="61" spans="1:32" x14ac:dyDescent="0.3">
      <c r="A61" s="254"/>
      <c r="B61" s="265"/>
      <c r="C61" s="6" t="s">
        <v>52</v>
      </c>
      <c r="D61" s="7">
        <f>SUM(D59:D60)</f>
        <v>125000</v>
      </c>
      <c r="E61" s="7">
        <f t="shared" ref="E61:O61" si="14">SUM(E59:E60)</f>
        <v>0</v>
      </c>
      <c r="F61" s="7">
        <f t="shared" si="14"/>
        <v>0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125000</v>
      </c>
      <c r="K61" s="7">
        <f t="shared" si="14"/>
        <v>945</v>
      </c>
      <c r="L61" s="7">
        <f t="shared" si="14"/>
        <v>0</v>
      </c>
      <c r="M61" s="7">
        <f t="shared" si="14"/>
        <v>0</v>
      </c>
      <c r="N61" s="7">
        <f t="shared" si="14"/>
        <v>0</v>
      </c>
      <c r="O61" s="7">
        <f t="shared" si="14"/>
        <v>0</v>
      </c>
      <c r="P61" s="7">
        <f>SUM(J61:O61)</f>
        <v>125945</v>
      </c>
      <c r="Q61" s="7">
        <f>SUM(Q58:Q60)</f>
        <v>0</v>
      </c>
      <c r="R61" s="7">
        <f t="shared" ref="R61:AE61" si="15">SUM(R58:R60)</f>
        <v>0</v>
      </c>
      <c r="S61" s="7">
        <f t="shared" si="15"/>
        <v>0</v>
      </c>
      <c r="T61" s="7">
        <f t="shared" si="15"/>
        <v>0</v>
      </c>
      <c r="U61" s="7">
        <f t="shared" si="15"/>
        <v>0</v>
      </c>
      <c r="V61" s="7">
        <f t="shared" si="15"/>
        <v>125945</v>
      </c>
      <c r="W61" s="7">
        <f t="shared" si="15"/>
        <v>0</v>
      </c>
      <c r="X61" s="7">
        <f t="shared" si="15"/>
        <v>0</v>
      </c>
      <c r="Y61" s="7">
        <f t="shared" si="15"/>
        <v>0</v>
      </c>
      <c r="Z61" s="7">
        <f t="shared" si="15"/>
        <v>0</v>
      </c>
      <c r="AA61" s="7">
        <f t="shared" si="15"/>
        <v>0</v>
      </c>
      <c r="AB61" s="7">
        <f t="shared" si="15"/>
        <v>0</v>
      </c>
      <c r="AC61" s="7">
        <f t="shared" si="15"/>
        <v>0</v>
      </c>
      <c r="AD61" s="7">
        <f t="shared" si="15"/>
        <v>125945</v>
      </c>
      <c r="AE61" s="7">
        <f t="shared" si="15"/>
        <v>125000</v>
      </c>
      <c r="AF61" s="7">
        <f t="shared" si="4"/>
        <v>945</v>
      </c>
    </row>
    <row r="62" spans="1:32" x14ac:dyDescent="0.3">
      <c r="A62" s="254"/>
      <c r="B62" s="261" t="s">
        <v>46</v>
      </c>
      <c r="C62" s="2" t="s">
        <v>24</v>
      </c>
      <c r="D62" s="3">
        <v>38102109</v>
      </c>
      <c r="E62" s="3"/>
      <c r="F62" s="3"/>
      <c r="G62" s="3"/>
      <c r="H62" s="3"/>
      <c r="I62" s="20"/>
      <c r="J62" s="20">
        <f t="shared" si="1"/>
        <v>38102109</v>
      </c>
      <c r="K62" s="20">
        <v>-122503</v>
      </c>
      <c r="L62" s="20"/>
      <c r="M62" s="20"/>
      <c r="N62" s="20"/>
      <c r="O62" s="20"/>
      <c r="P62" s="20">
        <f t="shared" si="0"/>
        <v>37979606</v>
      </c>
      <c r="Q62" s="20">
        <f>-194007-41240-400000+1000000-15898</f>
        <v>348855</v>
      </c>
      <c r="R62" s="20"/>
      <c r="S62" s="20"/>
      <c r="T62" s="20"/>
      <c r="U62" s="20"/>
      <c r="V62" s="20">
        <f t="shared" si="2"/>
        <v>38328461</v>
      </c>
      <c r="W62" s="20">
        <f>-77072-30912</f>
        <v>-107984</v>
      </c>
      <c r="X62" s="20"/>
      <c r="Y62" s="20"/>
      <c r="Z62" s="20"/>
      <c r="AA62" s="20"/>
      <c r="AB62" s="20"/>
      <c r="AC62" s="20"/>
      <c r="AD62" s="20">
        <f t="shared" si="8"/>
        <v>38220477</v>
      </c>
      <c r="AE62" s="108">
        <v>38216316</v>
      </c>
      <c r="AF62" s="3">
        <f t="shared" si="4"/>
        <v>4161</v>
      </c>
    </row>
    <row r="63" spans="1:32" x14ac:dyDescent="0.3">
      <c r="A63" s="254"/>
      <c r="B63" s="261"/>
      <c r="C63" s="2" t="s">
        <v>47</v>
      </c>
      <c r="D63" s="3">
        <v>2541000</v>
      </c>
      <c r="E63" s="3"/>
      <c r="F63" s="3"/>
      <c r="G63" s="3"/>
      <c r="H63" s="3"/>
      <c r="I63" s="20"/>
      <c r="J63" s="20">
        <f t="shared" si="1"/>
        <v>2541000</v>
      </c>
      <c r="K63" s="20"/>
      <c r="L63" s="20"/>
      <c r="M63" s="20"/>
      <c r="N63" s="20"/>
      <c r="O63" s="20"/>
      <c r="P63" s="20">
        <f t="shared" si="0"/>
        <v>2541000</v>
      </c>
      <c r="Q63" s="20">
        <v>385000</v>
      </c>
      <c r="R63" s="20"/>
      <c r="S63" s="20"/>
      <c r="T63" s="20"/>
      <c r="U63" s="20"/>
      <c r="V63" s="20">
        <f t="shared" si="2"/>
        <v>2926000</v>
      </c>
      <c r="W63" s="20"/>
      <c r="X63" s="20"/>
      <c r="Y63" s="20"/>
      <c r="Z63" s="20"/>
      <c r="AA63" s="20"/>
      <c r="AB63" s="20"/>
      <c r="AC63" s="20"/>
      <c r="AD63" s="20">
        <f t="shared" si="8"/>
        <v>2926000</v>
      </c>
      <c r="AE63" s="108">
        <v>2904682</v>
      </c>
      <c r="AF63" s="3">
        <f t="shared" si="4"/>
        <v>21318</v>
      </c>
    </row>
    <row r="64" spans="1:32" x14ac:dyDescent="0.3">
      <c r="A64" s="254"/>
      <c r="B64" s="261"/>
      <c r="C64" s="2" t="s">
        <v>48</v>
      </c>
      <c r="D64" s="3">
        <v>0</v>
      </c>
      <c r="E64" s="3"/>
      <c r="F64" s="3"/>
      <c r="G64" s="3"/>
      <c r="H64" s="3"/>
      <c r="I64" s="20"/>
      <c r="J64" s="20">
        <f t="shared" si="1"/>
        <v>0</v>
      </c>
      <c r="K64" s="20"/>
      <c r="L64" s="20"/>
      <c r="M64" s="20"/>
      <c r="N64" s="20"/>
      <c r="O64" s="20"/>
      <c r="P64" s="20">
        <f t="shared" si="0"/>
        <v>0</v>
      </c>
      <c r="Q64" s="20"/>
      <c r="R64" s="20"/>
      <c r="S64" s="20"/>
      <c r="T64" s="20"/>
      <c r="U64" s="20"/>
      <c r="V64" s="20">
        <f t="shared" si="2"/>
        <v>0</v>
      </c>
      <c r="W64" s="20"/>
      <c r="X64" s="20"/>
      <c r="Y64" s="20"/>
      <c r="Z64" s="20"/>
      <c r="AA64" s="20"/>
      <c r="AB64" s="20"/>
      <c r="AC64" s="20"/>
      <c r="AD64" s="20">
        <f t="shared" si="8"/>
        <v>0</v>
      </c>
      <c r="AE64" s="108">
        <v>0</v>
      </c>
      <c r="AF64" s="3">
        <f t="shared" si="4"/>
        <v>0</v>
      </c>
    </row>
    <row r="65" spans="1:32" x14ac:dyDescent="0.3">
      <c r="A65" s="254"/>
      <c r="B65" s="261"/>
      <c r="C65" s="2" t="s">
        <v>25</v>
      </c>
      <c r="D65" s="3">
        <v>1050000</v>
      </c>
      <c r="E65" s="3"/>
      <c r="F65" s="3"/>
      <c r="G65" s="3"/>
      <c r="H65" s="3"/>
      <c r="I65" s="20"/>
      <c r="J65" s="20">
        <f t="shared" si="1"/>
        <v>1050000</v>
      </c>
      <c r="K65" s="20"/>
      <c r="L65" s="20"/>
      <c r="M65" s="20"/>
      <c r="N65" s="20"/>
      <c r="O65" s="20"/>
      <c r="P65" s="20">
        <f t="shared" si="0"/>
        <v>1050000</v>
      </c>
      <c r="Q65" s="20">
        <f>400000+15898</f>
        <v>415898</v>
      </c>
      <c r="R65" s="20"/>
      <c r="S65" s="20"/>
      <c r="T65" s="20"/>
      <c r="U65" s="20"/>
      <c r="V65" s="20">
        <f t="shared" si="2"/>
        <v>1465898</v>
      </c>
      <c r="W65" s="20">
        <f>30912+9088</f>
        <v>40000</v>
      </c>
      <c r="X65" s="20"/>
      <c r="Y65" s="20"/>
      <c r="Z65" s="20"/>
      <c r="AA65" s="20"/>
      <c r="AB65" s="20"/>
      <c r="AC65" s="20"/>
      <c r="AD65" s="20">
        <f t="shared" si="8"/>
        <v>1505898</v>
      </c>
      <c r="AE65" s="108">
        <v>1505898</v>
      </c>
      <c r="AF65" s="3">
        <f t="shared" si="4"/>
        <v>0</v>
      </c>
    </row>
    <row r="66" spans="1:32" x14ac:dyDescent="0.3">
      <c r="A66" s="254"/>
      <c r="B66" s="261"/>
      <c r="C66" s="2" t="s">
        <v>26</v>
      </c>
      <c r="D66" s="3">
        <v>73425</v>
      </c>
      <c r="E66" s="3"/>
      <c r="F66" s="3"/>
      <c r="G66" s="3"/>
      <c r="H66" s="3"/>
      <c r="I66" s="20"/>
      <c r="J66" s="20">
        <f t="shared" si="1"/>
        <v>73425</v>
      </c>
      <c r="K66" s="20"/>
      <c r="L66" s="20"/>
      <c r="M66" s="20"/>
      <c r="N66" s="20"/>
      <c r="O66" s="20"/>
      <c r="P66" s="20">
        <f t="shared" si="0"/>
        <v>73425</v>
      </c>
      <c r="Q66" s="20"/>
      <c r="R66" s="20"/>
      <c r="S66" s="20"/>
      <c r="T66" s="20"/>
      <c r="U66" s="20"/>
      <c r="V66" s="20">
        <f t="shared" si="2"/>
        <v>73425</v>
      </c>
      <c r="W66" s="20"/>
      <c r="X66" s="20"/>
      <c r="Y66" s="20"/>
      <c r="Z66" s="20"/>
      <c r="AA66" s="20"/>
      <c r="AB66" s="20"/>
      <c r="AC66" s="20"/>
      <c r="AD66" s="20">
        <f t="shared" si="8"/>
        <v>73425</v>
      </c>
      <c r="AE66" s="108">
        <v>68432</v>
      </c>
      <c r="AF66" s="3">
        <f t="shared" si="4"/>
        <v>4993</v>
      </c>
    </row>
    <row r="67" spans="1:32" x14ac:dyDescent="0.3">
      <c r="A67" s="254"/>
      <c r="B67" s="261"/>
      <c r="C67" s="2" t="s">
        <v>27</v>
      </c>
      <c r="D67" s="3">
        <v>328000</v>
      </c>
      <c r="E67" s="3"/>
      <c r="F67" s="3"/>
      <c r="G67" s="3"/>
      <c r="H67" s="3"/>
      <c r="I67" s="20"/>
      <c r="J67" s="20">
        <f t="shared" si="1"/>
        <v>328000</v>
      </c>
      <c r="K67" s="20"/>
      <c r="L67" s="20"/>
      <c r="M67" s="20"/>
      <c r="N67" s="20"/>
      <c r="O67" s="20"/>
      <c r="P67" s="20">
        <f t="shared" si="0"/>
        <v>328000</v>
      </c>
      <c r="Q67" s="20"/>
      <c r="R67" s="20"/>
      <c r="S67" s="20"/>
      <c r="T67" s="20"/>
      <c r="U67" s="20"/>
      <c r="V67" s="20">
        <f t="shared" si="2"/>
        <v>328000</v>
      </c>
      <c r="W67" s="20"/>
      <c r="X67" s="20"/>
      <c r="Y67" s="20"/>
      <c r="Z67" s="20"/>
      <c r="AA67" s="20"/>
      <c r="AB67" s="20"/>
      <c r="AC67" s="20"/>
      <c r="AD67" s="20">
        <f t="shared" si="8"/>
        <v>328000</v>
      </c>
      <c r="AE67" s="108">
        <v>96795</v>
      </c>
      <c r="AF67" s="3">
        <f t="shared" si="4"/>
        <v>231205</v>
      </c>
    </row>
    <row r="68" spans="1:32" x14ac:dyDescent="0.3">
      <c r="A68" s="254"/>
      <c r="B68" s="261"/>
      <c r="C68" s="2" t="s">
        <v>28</v>
      </c>
      <c r="D68" s="3">
        <v>132000</v>
      </c>
      <c r="E68" s="3"/>
      <c r="F68" s="3"/>
      <c r="G68" s="3"/>
      <c r="H68" s="3"/>
      <c r="I68" s="20"/>
      <c r="J68" s="20">
        <f t="shared" si="1"/>
        <v>132000</v>
      </c>
      <c r="K68" s="20"/>
      <c r="L68" s="20"/>
      <c r="M68" s="20"/>
      <c r="N68" s="20"/>
      <c r="O68" s="20"/>
      <c r="P68" s="20">
        <f t="shared" si="0"/>
        <v>132000</v>
      </c>
      <c r="Q68" s="20">
        <v>-130000</v>
      </c>
      <c r="R68" s="20"/>
      <c r="S68" s="20"/>
      <c r="T68" s="20"/>
      <c r="U68" s="20"/>
      <c r="V68" s="20">
        <f t="shared" si="2"/>
        <v>2000</v>
      </c>
      <c r="W68" s="20"/>
      <c r="X68" s="20"/>
      <c r="Y68" s="20"/>
      <c r="Z68" s="20"/>
      <c r="AA68" s="20"/>
      <c r="AB68" s="20"/>
      <c r="AC68" s="20"/>
      <c r="AD68" s="20">
        <f t="shared" si="8"/>
        <v>2000</v>
      </c>
      <c r="AE68" s="108">
        <v>2000</v>
      </c>
      <c r="AF68" s="3">
        <f t="shared" si="4"/>
        <v>0</v>
      </c>
    </row>
    <row r="69" spans="1:32" x14ac:dyDescent="0.3">
      <c r="A69" s="254"/>
      <c r="B69" s="261"/>
      <c r="C69" s="2" t="s">
        <v>190</v>
      </c>
      <c r="D69" s="3">
        <v>0</v>
      </c>
      <c r="E69" s="3"/>
      <c r="F69" s="3"/>
      <c r="G69" s="3"/>
      <c r="H69" s="3"/>
      <c r="I69" s="20"/>
      <c r="J69" s="20">
        <f t="shared" si="1"/>
        <v>0</v>
      </c>
      <c r="K69" s="20"/>
      <c r="L69" s="20"/>
      <c r="M69" s="20"/>
      <c r="N69" s="20"/>
      <c r="O69" s="20"/>
      <c r="P69" s="20">
        <f t="shared" si="0"/>
        <v>0</v>
      </c>
      <c r="Q69" s="20"/>
      <c r="R69" s="20"/>
      <c r="S69" s="20"/>
      <c r="T69" s="20"/>
      <c r="U69" s="20"/>
      <c r="V69" s="20">
        <f t="shared" si="2"/>
        <v>0</v>
      </c>
      <c r="W69" s="20"/>
      <c r="X69" s="20"/>
      <c r="Y69" s="20"/>
      <c r="Z69" s="20"/>
      <c r="AA69" s="20"/>
      <c r="AB69" s="20"/>
      <c r="AC69" s="20"/>
      <c r="AD69" s="20">
        <f t="shared" si="8"/>
        <v>0</v>
      </c>
      <c r="AE69" s="108">
        <v>0</v>
      </c>
      <c r="AF69" s="3">
        <f t="shared" si="4"/>
        <v>0</v>
      </c>
    </row>
    <row r="70" spans="1:32" x14ac:dyDescent="0.3">
      <c r="A70" s="254"/>
      <c r="B70" s="261"/>
      <c r="C70" s="2" t="s">
        <v>29</v>
      </c>
      <c r="D70" s="3">
        <v>669600</v>
      </c>
      <c r="E70" s="3"/>
      <c r="F70" s="3"/>
      <c r="G70" s="3"/>
      <c r="H70" s="3"/>
      <c r="I70" s="20"/>
      <c r="J70" s="20">
        <f t="shared" si="1"/>
        <v>669600</v>
      </c>
      <c r="K70" s="20">
        <v>122503</v>
      </c>
      <c r="L70" s="20"/>
      <c r="M70" s="20"/>
      <c r="N70" s="20"/>
      <c r="O70" s="20"/>
      <c r="P70" s="20">
        <f t="shared" si="0"/>
        <v>792103</v>
      </c>
      <c r="Q70" s="20">
        <f>130000+194007+41240</f>
        <v>365247</v>
      </c>
      <c r="R70" s="20"/>
      <c r="S70" s="20"/>
      <c r="T70" s="20"/>
      <c r="U70" s="20"/>
      <c r="V70" s="20">
        <f t="shared" si="2"/>
        <v>1157350</v>
      </c>
      <c r="W70" s="20"/>
      <c r="X70" s="20"/>
      <c r="Y70" s="20"/>
      <c r="Z70" s="20"/>
      <c r="AA70" s="20"/>
      <c r="AB70" s="20"/>
      <c r="AC70" s="20"/>
      <c r="AD70" s="20">
        <f t="shared" si="8"/>
        <v>1157350</v>
      </c>
      <c r="AE70" s="108">
        <v>1032341</v>
      </c>
      <c r="AF70" s="3">
        <f t="shared" ref="AF70:AF133" si="16">AD70-AE70</f>
        <v>125009</v>
      </c>
    </row>
    <row r="71" spans="1:32" x14ac:dyDescent="0.3">
      <c r="A71" s="254"/>
      <c r="B71" s="261"/>
      <c r="C71" s="2" t="s">
        <v>30</v>
      </c>
      <c r="D71" s="3">
        <v>100000</v>
      </c>
      <c r="E71" s="3"/>
      <c r="F71" s="3"/>
      <c r="G71" s="3"/>
      <c r="H71" s="3"/>
      <c r="I71" s="20"/>
      <c r="J71" s="20">
        <f t="shared" si="1"/>
        <v>100000</v>
      </c>
      <c r="K71" s="20"/>
      <c r="L71" s="20"/>
      <c r="M71" s="20"/>
      <c r="N71" s="20"/>
      <c r="O71" s="20"/>
      <c r="P71" s="20">
        <f t="shared" si="0"/>
        <v>100000</v>
      </c>
      <c r="Q71" s="20"/>
      <c r="R71" s="20"/>
      <c r="S71" s="20"/>
      <c r="T71" s="20"/>
      <c r="U71" s="20"/>
      <c r="V71" s="20">
        <f t="shared" si="2"/>
        <v>100000</v>
      </c>
      <c r="W71" s="20">
        <f>77072+92920</f>
        <v>169992</v>
      </c>
      <c r="X71" s="20"/>
      <c r="Y71" s="20"/>
      <c r="Z71" s="20"/>
      <c r="AA71" s="20"/>
      <c r="AB71" s="20"/>
      <c r="AC71" s="20"/>
      <c r="AD71" s="20">
        <f t="shared" si="8"/>
        <v>269992</v>
      </c>
      <c r="AE71" s="108">
        <v>269992</v>
      </c>
      <c r="AF71" s="3">
        <f t="shared" si="16"/>
        <v>0</v>
      </c>
    </row>
    <row r="72" spans="1:32" x14ac:dyDescent="0.3">
      <c r="A72" s="254"/>
      <c r="B72" s="261"/>
      <c r="C72" s="6" t="s">
        <v>53</v>
      </c>
      <c r="D72" s="7">
        <f>SUM(D62:D71)</f>
        <v>42996134</v>
      </c>
      <c r="E72" s="7">
        <f t="shared" ref="E72:AE72" si="17">SUM(E62:E71)</f>
        <v>0</v>
      </c>
      <c r="F72" s="7">
        <f t="shared" si="17"/>
        <v>0</v>
      </c>
      <c r="G72" s="7">
        <f t="shared" si="17"/>
        <v>0</v>
      </c>
      <c r="H72" s="7">
        <f t="shared" si="17"/>
        <v>0</v>
      </c>
      <c r="I72" s="7">
        <f t="shared" si="17"/>
        <v>0</v>
      </c>
      <c r="J72" s="7">
        <f t="shared" si="17"/>
        <v>42996134</v>
      </c>
      <c r="K72" s="7">
        <f t="shared" si="17"/>
        <v>0</v>
      </c>
      <c r="L72" s="7">
        <f t="shared" si="17"/>
        <v>0</v>
      </c>
      <c r="M72" s="7">
        <f t="shared" si="17"/>
        <v>0</v>
      </c>
      <c r="N72" s="7">
        <f t="shared" si="17"/>
        <v>0</v>
      </c>
      <c r="O72" s="7"/>
      <c r="P72" s="7">
        <f t="shared" si="0"/>
        <v>42996134</v>
      </c>
      <c r="Q72" s="7">
        <f>SUM(Q62:Q71)</f>
        <v>1385000</v>
      </c>
      <c r="R72" s="7">
        <f t="shared" ref="R72:U72" si="18">SUM(R62:R71)</f>
        <v>0</v>
      </c>
      <c r="S72" s="7">
        <f t="shared" si="18"/>
        <v>0</v>
      </c>
      <c r="T72" s="7">
        <f t="shared" si="18"/>
        <v>0</v>
      </c>
      <c r="U72" s="7">
        <f t="shared" si="18"/>
        <v>0</v>
      </c>
      <c r="V72" s="7">
        <f t="shared" si="2"/>
        <v>44381134</v>
      </c>
      <c r="W72" s="7">
        <f>SUM(W62:W71)</f>
        <v>102008</v>
      </c>
      <c r="X72" s="7">
        <f t="shared" ref="X72:AC72" si="19">SUM(X62:X71)</f>
        <v>0</v>
      </c>
      <c r="Y72" s="7">
        <f t="shared" ref="Y72" si="20">SUM(Y62:Y71)</f>
        <v>0</v>
      </c>
      <c r="Z72" s="7">
        <f t="shared" ref="Z72" si="21">SUM(Z62:Z71)</f>
        <v>0</v>
      </c>
      <c r="AA72" s="7">
        <f t="shared" si="19"/>
        <v>0</v>
      </c>
      <c r="AB72" s="7">
        <f t="shared" si="19"/>
        <v>0</v>
      </c>
      <c r="AC72" s="7">
        <f t="shared" si="19"/>
        <v>0</v>
      </c>
      <c r="AD72" s="7">
        <f t="shared" si="8"/>
        <v>44483142</v>
      </c>
      <c r="AE72" s="110">
        <f t="shared" si="17"/>
        <v>44096456</v>
      </c>
      <c r="AF72" s="110">
        <f t="shared" si="16"/>
        <v>386686</v>
      </c>
    </row>
    <row r="73" spans="1:32" x14ac:dyDescent="0.3">
      <c r="A73" s="254"/>
      <c r="B73" s="261"/>
      <c r="C73" s="82" t="s">
        <v>31</v>
      </c>
      <c r="D73" s="83">
        <v>6697586</v>
      </c>
      <c r="E73" s="83"/>
      <c r="F73" s="83"/>
      <c r="G73" s="83"/>
      <c r="H73" s="83"/>
      <c r="I73" s="191"/>
      <c r="J73" s="84">
        <f t="shared" si="1"/>
        <v>6697586</v>
      </c>
      <c r="K73" s="84"/>
      <c r="L73" s="84"/>
      <c r="M73" s="84"/>
      <c r="N73" s="84"/>
      <c r="O73" s="84"/>
      <c r="P73" s="84">
        <f t="shared" si="0"/>
        <v>6697586</v>
      </c>
      <c r="Q73" s="84"/>
      <c r="R73" s="84"/>
      <c r="S73" s="84"/>
      <c r="T73" s="84"/>
      <c r="U73" s="84"/>
      <c r="V73" s="84">
        <f t="shared" si="2"/>
        <v>6697586</v>
      </c>
      <c r="W73" s="84"/>
      <c r="X73" s="84"/>
      <c r="Y73" s="84"/>
      <c r="Z73" s="84"/>
      <c r="AA73" s="84"/>
      <c r="AB73" s="84"/>
      <c r="AC73" s="84"/>
      <c r="AD73" s="84">
        <f t="shared" si="8"/>
        <v>6697586</v>
      </c>
      <c r="AE73" s="111">
        <v>6221639</v>
      </c>
      <c r="AF73" s="111">
        <f t="shared" si="16"/>
        <v>475947</v>
      </c>
    </row>
    <row r="74" spans="1:32" x14ac:dyDescent="0.3">
      <c r="A74" s="254"/>
      <c r="B74" s="261"/>
      <c r="C74" s="2" t="s">
        <v>32</v>
      </c>
      <c r="D74" s="3">
        <v>107000</v>
      </c>
      <c r="E74" s="3"/>
      <c r="F74" s="3"/>
      <c r="G74" s="3"/>
      <c r="H74" s="3"/>
      <c r="I74" s="20"/>
      <c r="J74" s="20">
        <f t="shared" ref="J74:J88" si="22">SUM(D74:I74)</f>
        <v>107000</v>
      </c>
      <c r="K74" s="20"/>
      <c r="L74" s="20"/>
      <c r="M74" s="20"/>
      <c r="N74" s="20"/>
      <c r="O74" s="20"/>
      <c r="P74" s="20">
        <f t="shared" si="0"/>
        <v>107000</v>
      </c>
      <c r="Q74" s="20"/>
      <c r="R74" s="20"/>
      <c r="S74" s="20"/>
      <c r="T74" s="20"/>
      <c r="U74" s="20"/>
      <c r="V74" s="20">
        <f t="shared" si="2"/>
        <v>107000</v>
      </c>
      <c r="W74" s="20"/>
      <c r="X74" s="20"/>
      <c r="Y74" s="20"/>
      <c r="Z74" s="20"/>
      <c r="AA74" s="20"/>
      <c r="AB74" s="20"/>
      <c r="AC74" s="20"/>
      <c r="AD74" s="20">
        <f t="shared" si="8"/>
        <v>107000</v>
      </c>
      <c r="AE74" s="108">
        <v>4829</v>
      </c>
      <c r="AF74" s="3">
        <f t="shared" si="16"/>
        <v>102171</v>
      </c>
    </row>
    <row r="75" spans="1:32" x14ac:dyDescent="0.3">
      <c r="A75" s="254"/>
      <c r="B75" s="261"/>
      <c r="C75" s="2" t="s">
        <v>33</v>
      </c>
      <c r="D75" s="3">
        <v>400000</v>
      </c>
      <c r="E75" s="3"/>
      <c r="F75" s="3"/>
      <c r="G75" s="3"/>
      <c r="H75" s="3"/>
      <c r="I75" s="20"/>
      <c r="J75" s="20">
        <f t="shared" si="22"/>
        <v>400000</v>
      </c>
      <c r="K75" s="20"/>
      <c r="L75" s="20"/>
      <c r="M75" s="20"/>
      <c r="N75" s="20"/>
      <c r="O75" s="20"/>
      <c r="P75" s="20">
        <f t="shared" ref="P75:P145" si="23">SUM(J75:O75)</f>
        <v>400000</v>
      </c>
      <c r="Q75" s="20"/>
      <c r="R75" s="20"/>
      <c r="S75" s="20"/>
      <c r="T75" s="20"/>
      <c r="U75" s="20"/>
      <c r="V75" s="20">
        <f t="shared" si="2"/>
        <v>400000</v>
      </c>
      <c r="W75" s="20"/>
      <c r="X75" s="20"/>
      <c r="Y75" s="20"/>
      <c r="Z75" s="20"/>
      <c r="AA75" s="20"/>
      <c r="AB75" s="20"/>
      <c r="AC75" s="20"/>
      <c r="AD75" s="20">
        <f t="shared" si="8"/>
        <v>400000</v>
      </c>
      <c r="AE75" s="108">
        <v>123639</v>
      </c>
      <c r="AF75" s="3">
        <f t="shared" si="16"/>
        <v>276361</v>
      </c>
    </row>
    <row r="76" spans="1:32" x14ac:dyDescent="0.3">
      <c r="A76" s="254"/>
      <c r="B76" s="261"/>
      <c r="C76" s="2" t="s">
        <v>34</v>
      </c>
      <c r="D76" s="3">
        <v>255013</v>
      </c>
      <c r="E76" s="3"/>
      <c r="F76" s="3"/>
      <c r="G76" s="3"/>
      <c r="H76" s="3"/>
      <c r="I76" s="20"/>
      <c r="J76" s="20">
        <f t="shared" si="22"/>
        <v>255013</v>
      </c>
      <c r="K76" s="20"/>
      <c r="L76" s="20"/>
      <c r="M76" s="20"/>
      <c r="N76" s="20"/>
      <c r="O76" s="20"/>
      <c r="P76" s="20">
        <f t="shared" si="23"/>
        <v>255013</v>
      </c>
      <c r="Q76" s="20"/>
      <c r="R76" s="20"/>
      <c r="S76" s="20"/>
      <c r="T76" s="20"/>
      <c r="U76" s="20"/>
      <c r="V76" s="20">
        <f t="shared" ref="V76:V146" si="24">SUM(P76:U76)</f>
        <v>255013</v>
      </c>
      <c r="W76" s="20"/>
      <c r="X76" s="20"/>
      <c r="Y76" s="20"/>
      <c r="Z76" s="20"/>
      <c r="AA76" s="20"/>
      <c r="AB76" s="20"/>
      <c r="AC76" s="20"/>
      <c r="AD76" s="20">
        <f t="shared" si="8"/>
        <v>255013</v>
      </c>
      <c r="AE76" s="108">
        <v>143446</v>
      </c>
      <c r="AF76" s="3">
        <f t="shared" si="16"/>
        <v>111567</v>
      </c>
    </row>
    <row r="77" spans="1:32" x14ac:dyDescent="0.3">
      <c r="A77" s="254"/>
      <c r="B77" s="261"/>
      <c r="C77" s="2" t="s">
        <v>35</v>
      </c>
      <c r="D77" s="3">
        <v>120666</v>
      </c>
      <c r="E77" s="3"/>
      <c r="F77" s="3"/>
      <c r="G77" s="3"/>
      <c r="H77" s="3"/>
      <c r="I77" s="20"/>
      <c r="J77" s="20">
        <f t="shared" si="22"/>
        <v>120666</v>
      </c>
      <c r="K77" s="20"/>
      <c r="L77" s="20"/>
      <c r="M77" s="20"/>
      <c r="N77" s="20"/>
      <c r="O77" s="20"/>
      <c r="P77" s="20">
        <f t="shared" si="23"/>
        <v>120666</v>
      </c>
      <c r="Q77" s="20"/>
      <c r="R77" s="20"/>
      <c r="S77" s="20"/>
      <c r="T77" s="20"/>
      <c r="U77" s="20"/>
      <c r="V77" s="20">
        <f t="shared" si="24"/>
        <v>120666</v>
      </c>
      <c r="W77" s="20"/>
      <c r="X77" s="20"/>
      <c r="Y77" s="20"/>
      <c r="Z77" s="20"/>
      <c r="AA77" s="20"/>
      <c r="AB77" s="20"/>
      <c r="AC77" s="20"/>
      <c r="AD77" s="20">
        <f t="shared" si="8"/>
        <v>120666</v>
      </c>
      <c r="AE77" s="108">
        <v>80338</v>
      </c>
      <c r="AF77" s="3">
        <f t="shared" si="16"/>
        <v>40328</v>
      </c>
    </row>
    <row r="78" spans="1:32" x14ac:dyDescent="0.3">
      <c r="A78" s="254"/>
      <c r="B78" s="261"/>
      <c r="C78" s="2" t="s">
        <v>195</v>
      </c>
      <c r="D78" s="3">
        <v>637455</v>
      </c>
      <c r="E78" s="3"/>
      <c r="F78" s="3"/>
      <c r="G78" s="3"/>
      <c r="H78" s="3"/>
      <c r="I78" s="20"/>
      <c r="J78" s="20">
        <f t="shared" si="22"/>
        <v>637455</v>
      </c>
      <c r="K78" s="20">
        <v>25000</v>
      </c>
      <c r="L78" s="20"/>
      <c r="M78" s="20"/>
      <c r="N78" s="20"/>
      <c r="O78" s="20"/>
      <c r="P78" s="20">
        <f t="shared" si="23"/>
        <v>662455</v>
      </c>
      <c r="Q78" s="20">
        <f>671+7675</f>
        <v>8346</v>
      </c>
      <c r="R78" s="20"/>
      <c r="S78" s="20"/>
      <c r="T78" s="20"/>
      <c r="U78" s="20"/>
      <c r="V78" s="20">
        <f t="shared" si="24"/>
        <v>670801</v>
      </c>
      <c r="W78" s="20">
        <v>56818</v>
      </c>
      <c r="X78" s="20"/>
      <c r="Y78" s="20"/>
      <c r="Z78" s="20"/>
      <c r="AA78" s="20"/>
      <c r="AB78" s="20"/>
      <c r="AC78" s="20"/>
      <c r="AD78" s="20">
        <f t="shared" si="8"/>
        <v>727619</v>
      </c>
      <c r="AE78" s="108">
        <v>727619</v>
      </c>
      <c r="AF78" s="3">
        <f t="shared" si="16"/>
        <v>0</v>
      </c>
    </row>
    <row r="79" spans="1:32" x14ac:dyDescent="0.3">
      <c r="A79" s="254"/>
      <c r="B79" s="261"/>
      <c r="C79" s="2" t="s">
        <v>196</v>
      </c>
      <c r="D79" s="3">
        <v>12500</v>
      </c>
      <c r="E79" s="3"/>
      <c r="F79" s="3"/>
      <c r="G79" s="3"/>
      <c r="H79" s="3"/>
      <c r="I79" s="20"/>
      <c r="J79" s="20">
        <f t="shared" si="22"/>
        <v>12500</v>
      </c>
      <c r="K79" s="20">
        <v>5000</v>
      </c>
      <c r="L79" s="20"/>
      <c r="M79" s="20"/>
      <c r="N79" s="20"/>
      <c r="O79" s="20"/>
      <c r="P79" s="20">
        <f t="shared" si="23"/>
        <v>17500</v>
      </c>
      <c r="Q79" s="20"/>
      <c r="R79" s="20"/>
      <c r="S79" s="20"/>
      <c r="T79" s="20"/>
      <c r="U79" s="20"/>
      <c r="V79" s="20">
        <f t="shared" si="24"/>
        <v>17500</v>
      </c>
      <c r="W79" s="20">
        <v>3493</v>
      </c>
      <c r="X79" s="20"/>
      <c r="Y79" s="20"/>
      <c r="Z79" s="20"/>
      <c r="AA79" s="20"/>
      <c r="AB79" s="20"/>
      <c r="AC79" s="20"/>
      <c r="AD79" s="20">
        <f t="shared" si="8"/>
        <v>20993</v>
      </c>
      <c r="AE79" s="108">
        <v>20993</v>
      </c>
      <c r="AF79" s="3">
        <f t="shared" si="16"/>
        <v>0</v>
      </c>
    </row>
    <row r="80" spans="1:32" x14ac:dyDescent="0.3">
      <c r="A80" s="254"/>
      <c r="B80" s="261"/>
      <c r="C80" s="2" t="s">
        <v>37</v>
      </c>
      <c r="D80" s="3">
        <v>25000</v>
      </c>
      <c r="E80" s="3"/>
      <c r="F80" s="3"/>
      <c r="G80" s="3"/>
      <c r="H80" s="3"/>
      <c r="I80" s="20"/>
      <c r="J80" s="20">
        <f t="shared" si="22"/>
        <v>25000</v>
      </c>
      <c r="K80" s="20"/>
      <c r="L80" s="20"/>
      <c r="M80" s="20"/>
      <c r="N80" s="20"/>
      <c r="O80" s="20"/>
      <c r="P80" s="20">
        <f t="shared" si="23"/>
        <v>25000</v>
      </c>
      <c r="Q80" s="20"/>
      <c r="R80" s="20"/>
      <c r="S80" s="20"/>
      <c r="T80" s="20"/>
      <c r="U80" s="20"/>
      <c r="V80" s="20">
        <f t="shared" si="24"/>
        <v>25000</v>
      </c>
      <c r="W80" s="20"/>
      <c r="X80" s="20"/>
      <c r="Y80" s="20"/>
      <c r="Z80" s="20"/>
      <c r="AA80" s="20"/>
      <c r="AB80" s="20"/>
      <c r="AC80" s="20"/>
      <c r="AD80" s="20">
        <f t="shared" si="8"/>
        <v>25000</v>
      </c>
      <c r="AE80" s="108">
        <v>0</v>
      </c>
      <c r="AF80" s="3">
        <f t="shared" si="16"/>
        <v>25000</v>
      </c>
    </row>
    <row r="81" spans="1:32" x14ac:dyDescent="0.3">
      <c r="A81" s="254"/>
      <c r="B81" s="261"/>
      <c r="C81" s="2" t="s">
        <v>38</v>
      </c>
      <c r="D81" s="3">
        <v>160000</v>
      </c>
      <c r="E81" s="3"/>
      <c r="F81" s="3"/>
      <c r="G81" s="3"/>
      <c r="H81" s="3"/>
      <c r="I81" s="20"/>
      <c r="J81" s="20">
        <f t="shared" si="22"/>
        <v>160000</v>
      </c>
      <c r="K81" s="20"/>
      <c r="L81" s="20"/>
      <c r="M81" s="20"/>
      <c r="N81" s="20"/>
      <c r="O81" s="20"/>
      <c r="P81" s="20">
        <f t="shared" si="23"/>
        <v>160000</v>
      </c>
      <c r="Q81" s="20">
        <v>-671</v>
      </c>
      <c r="R81" s="20"/>
      <c r="S81" s="20"/>
      <c r="T81" s="20"/>
      <c r="U81" s="20"/>
      <c r="V81" s="20">
        <f t="shared" si="24"/>
        <v>159329</v>
      </c>
      <c r="W81" s="20"/>
      <c r="X81" s="20"/>
      <c r="Y81" s="20"/>
      <c r="Z81" s="20"/>
      <c r="AA81" s="20"/>
      <c r="AB81" s="20"/>
      <c r="AC81" s="20"/>
      <c r="AD81" s="20">
        <f t="shared" si="8"/>
        <v>159329</v>
      </c>
      <c r="AE81" s="108">
        <v>22000</v>
      </c>
      <c r="AF81" s="3">
        <f t="shared" si="16"/>
        <v>137329</v>
      </c>
    </row>
    <row r="82" spans="1:32" x14ac:dyDescent="0.3">
      <c r="A82" s="254"/>
      <c r="B82" s="261"/>
      <c r="C82" s="2" t="s">
        <v>39</v>
      </c>
      <c r="D82" s="3">
        <v>4000</v>
      </c>
      <c r="E82" s="3"/>
      <c r="F82" s="3"/>
      <c r="G82" s="3"/>
      <c r="H82" s="3"/>
      <c r="I82" s="20"/>
      <c r="J82" s="20">
        <f t="shared" si="22"/>
        <v>4000</v>
      </c>
      <c r="K82" s="20"/>
      <c r="L82" s="20"/>
      <c r="M82" s="20"/>
      <c r="N82" s="20"/>
      <c r="O82" s="20"/>
      <c r="P82" s="20">
        <f t="shared" si="23"/>
        <v>4000</v>
      </c>
      <c r="Q82" s="20"/>
      <c r="R82" s="20"/>
      <c r="S82" s="20"/>
      <c r="T82" s="20"/>
      <c r="U82" s="20"/>
      <c r="V82" s="20">
        <f t="shared" si="24"/>
        <v>4000</v>
      </c>
      <c r="W82" s="20">
        <v>-1505</v>
      </c>
      <c r="X82" s="20"/>
      <c r="Y82" s="20"/>
      <c r="Z82" s="20"/>
      <c r="AA82" s="20"/>
      <c r="AB82" s="20"/>
      <c r="AC82" s="20"/>
      <c r="AD82" s="20">
        <f t="shared" si="8"/>
        <v>2495</v>
      </c>
      <c r="AE82" s="108">
        <v>2495</v>
      </c>
      <c r="AF82" s="3">
        <f t="shared" si="16"/>
        <v>0</v>
      </c>
    </row>
    <row r="83" spans="1:32" x14ac:dyDescent="0.3">
      <c r="A83" s="254"/>
      <c r="B83" s="261"/>
      <c r="C83" s="2" t="s">
        <v>40</v>
      </c>
      <c r="D83" s="3">
        <v>3239400</v>
      </c>
      <c r="E83" s="3"/>
      <c r="F83" s="3"/>
      <c r="G83" s="3"/>
      <c r="H83" s="3"/>
      <c r="I83" s="20"/>
      <c r="J83" s="20">
        <f t="shared" si="22"/>
        <v>3239400</v>
      </c>
      <c r="K83" s="20"/>
      <c r="L83" s="20"/>
      <c r="M83" s="20"/>
      <c r="N83" s="20"/>
      <c r="O83" s="20"/>
      <c r="P83" s="20">
        <f t="shared" si="23"/>
        <v>3239400</v>
      </c>
      <c r="Q83" s="20"/>
      <c r="R83" s="20"/>
      <c r="S83" s="20"/>
      <c r="T83" s="20"/>
      <c r="U83" s="20"/>
      <c r="V83" s="20">
        <f t="shared" si="24"/>
        <v>3239400</v>
      </c>
      <c r="W83" s="20"/>
      <c r="X83" s="20"/>
      <c r="Y83" s="20"/>
      <c r="Z83" s="20"/>
      <c r="AA83" s="20"/>
      <c r="AB83" s="20"/>
      <c r="AC83" s="20"/>
      <c r="AD83" s="20">
        <f t="shared" si="8"/>
        <v>3239400</v>
      </c>
      <c r="AE83" s="108">
        <v>2606008</v>
      </c>
      <c r="AF83" s="3">
        <f t="shared" si="16"/>
        <v>633392</v>
      </c>
    </row>
    <row r="84" spans="1:32" x14ac:dyDescent="0.3">
      <c r="A84" s="254"/>
      <c r="B84" s="261"/>
      <c r="C84" s="2" t="s">
        <v>41</v>
      </c>
      <c r="D84" s="3">
        <v>1365378</v>
      </c>
      <c r="E84" s="3">
        <v>0</v>
      </c>
      <c r="F84" s="3"/>
      <c r="G84" s="3"/>
      <c r="H84" s="3"/>
      <c r="I84" s="20"/>
      <c r="J84" s="20">
        <f t="shared" si="22"/>
        <v>1365378</v>
      </c>
      <c r="K84" s="20"/>
      <c r="L84" s="20"/>
      <c r="M84" s="20"/>
      <c r="N84" s="20"/>
      <c r="O84" s="20"/>
      <c r="P84" s="20">
        <f t="shared" si="23"/>
        <v>1365378</v>
      </c>
      <c r="Q84" s="20"/>
      <c r="R84" s="20"/>
      <c r="S84" s="20"/>
      <c r="T84" s="20"/>
      <c r="U84" s="20"/>
      <c r="V84" s="20">
        <f t="shared" si="24"/>
        <v>1365378</v>
      </c>
      <c r="W84" s="20">
        <f>1505-126888</f>
        <v>-125383</v>
      </c>
      <c r="X84" s="20"/>
      <c r="Y84" s="20"/>
      <c r="Z84" s="20"/>
      <c r="AA84" s="20"/>
      <c r="AB84" s="20"/>
      <c r="AC84" s="20"/>
      <c r="AD84" s="20">
        <f t="shared" si="8"/>
        <v>1239995</v>
      </c>
      <c r="AE84" s="108">
        <v>1138357</v>
      </c>
      <c r="AF84" s="3">
        <f t="shared" si="16"/>
        <v>101638</v>
      </c>
    </row>
    <row r="85" spans="1:32" x14ac:dyDescent="0.3">
      <c r="A85" s="254"/>
      <c r="B85" s="261"/>
      <c r="C85" s="2" t="s">
        <v>42</v>
      </c>
      <c r="D85" s="3">
        <v>200000</v>
      </c>
      <c r="E85" s="3"/>
      <c r="F85" s="3"/>
      <c r="G85" s="3"/>
      <c r="H85" s="3"/>
      <c r="I85" s="20"/>
      <c r="J85" s="20">
        <f t="shared" si="22"/>
        <v>200000</v>
      </c>
      <c r="K85" s="20">
        <v>-116887</v>
      </c>
      <c r="L85" s="20"/>
      <c r="M85" s="20"/>
      <c r="N85" s="20"/>
      <c r="O85" s="20"/>
      <c r="P85" s="20">
        <f t="shared" si="23"/>
        <v>83113</v>
      </c>
      <c r="Q85" s="20">
        <v>40000</v>
      </c>
      <c r="R85" s="20"/>
      <c r="S85" s="20"/>
      <c r="T85" s="20"/>
      <c r="U85" s="20"/>
      <c r="V85" s="20">
        <f t="shared" si="24"/>
        <v>123113</v>
      </c>
      <c r="W85" s="20">
        <v>93286</v>
      </c>
      <c r="X85" s="20"/>
      <c r="Y85" s="20"/>
      <c r="Z85" s="20"/>
      <c r="AA85" s="20"/>
      <c r="AB85" s="20"/>
      <c r="AC85" s="20"/>
      <c r="AD85" s="20">
        <f t="shared" si="8"/>
        <v>216399</v>
      </c>
      <c r="AE85" s="108">
        <v>216399</v>
      </c>
      <c r="AF85" s="3">
        <f t="shared" si="16"/>
        <v>0</v>
      </c>
    </row>
    <row r="86" spans="1:32" x14ac:dyDescent="0.3">
      <c r="A86" s="254"/>
      <c r="B86" s="261"/>
      <c r="C86" s="2" t="s">
        <v>43</v>
      </c>
      <c r="D86" s="3">
        <v>30000</v>
      </c>
      <c r="E86" s="3"/>
      <c r="F86" s="3"/>
      <c r="G86" s="3"/>
      <c r="H86" s="3"/>
      <c r="I86" s="20"/>
      <c r="J86" s="20">
        <f t="shared" si="22"/>
        <v>30000</v>
      </c>
      <c r="K86" s="20"/>
      <c r="L86" s="20"/>
      <c r="M86" s="20"/>
      <c r="N86" s="20"/>
      <c r="O86" s="20"/>
      <c r="P86" s="20">
        <f t="shared" si="23"/>
        <v>30000</v>
      </c>
      <c r="Q86" s="20"/>
      <c r="R86" s="20"/>
      <c r="S86" s="20"/>
      <c r="T86" s="20"/>
      <c r="U86" s="20"/>
      <c r="V86" s="20">
        <f t="shared" si="24"/>
        <v>30000</v>
      </c>
      <c r="W86" s="20"/>
      <c r="X86" s="20"/>
      <c r="Y86" s="20"/>
      <c r="Z86" s="20"/>
      <c r="AA86" s="20"/>
      <c r="AB86" s="20"/>
      <c r="AC86" s="20"/>
      <c r="AD86" s="20">
        <f t="shared" si="8"/>
        <v>30000</v>
      </c>
      <c r="AE86" s="108">
        <v>0</v>
      </c>
      <c r="AF86" s="3">
        <f t="shared" si="16"/>
        <v>30000</v>
      </c>
    </row>
    <row r="87" spans="1:32" x14ac:dyDescent="0.3">
      <c r="A87" s="254"/>
      <c r="B87" s="261"/>
      <c r="C87" s="2" t="s">
        <v>44</v>
      </c>
      <c r="D87" s="3">
        <v>1006521</v>
      </c>
      <c r="E87" s="3"/>
      <c r="F87" s="3"/>
      <c r="G87" s="3"/>
      <c r="H87" s="3"/>
      <c r="I87" s="20"/>
      <c r="J87" s="20">
        <f t="shared" si="22"/>
        <v>1006521</v>
      </c>
      <c r="K87" s="20"/>
      <c r="L87" s="20"/>
      <c r="M87" s="20"/>
      <c r="N87" s="20"/>
      <c r="O87" s="20"/>
      <c r="P87" s="20">
        <f t="shared" si="23"/>
        <v>1006521</v>
      </c>
      <c r="Q87" s="20"/>
      <c r="R87" s="20"/>
      <c r="S87" s="20"/>
      <c r="T87" s="20"/>
      <c r="U87" s="20"/>
      <c r="V87" s="20">
        <f t="shared" si="24"/>
        <v>1006521</v>
      </c>
      <c r="W87" s="20"/>
      <c r="X87" s="20"/>
      <c r="Y87" s="20"/>
      <c r="Z87" s="20"/>
      <c r="AA87" s="20"/>
      <c r="AB87" s="20"/>
      <c r="AC87" s="20"/>
      <c r="AD87" s="20">
        <f t="shared" si="8"/>
        <v>1006521</v>
      </c>
      <c r="AE87" s="108">
        <v>604999</v>
      </c>
      <c r="AF87" s="3">
        <f t="shared" si="16"/>
        <v>401522</v>
      </c>
    </row>
    <row r="88" spans="1:32" x14ac:dyDescent="0.3">
      <c r="A88" s="254"/>
      <c r="B88" s="261"/>
      <c r="C88" s="2" t="s">
        <v>45</v>
      </c>
      <c r="D88" s="3">
        <v>23467</v>
      </c>
      <c r="E88" s="3"/>
      <c r="F88" s="3"/>
      <c r="G88" s="3"/>
      <c r="H88" s="3"/>
      <c r="I88" s="20"/>
      <c r="J88" s="20">
        <f t="shared" si="22"/>
        <v>23467</v>
      </c>
      <c r="K88" s="20"/>
      <c r="L88" s="20"/>
      <c r="M88" s="20"/>
      <c r="N88" s="20"/>
      <c r="O88" s="20"/>
      <c r="P88" s="20">
        <f t="shared" si="23"/>
        <v>23467</v>
      </c>
      <c r="Q88" s="20"/>
      <c r="R88" s="20"/>
      <c r="S88" s="20"/>
      <c r="T88" s="20"/>
      <c r="U88" s="20"/>
      <c r="V88" s="20">
        <f t="shared" si="24"/>
        <v>23467</v>
      </c>
      <c r="W88" s="20"/>
      <c r="X88" s="20"/>
      <c r="Y88" s="20"/>
      <c r="Z88" s="20"/>
      <c r="AA88" s="20"/>
      <c r="AB88" s="20"/>
      <c r="AC88" s="20"/>
      <c r="AD88" s="20">
        <f t="shared" si="8"/>
        <v>23467</v>
      </c>
      <c r="AE88" s="207">
        <v>20064</v>
      </c>
      <c r="AF88" s="3">
        <f t="shared" si="16"/>
        <v>3403</v>
      </c>
    </row>
    <row r="89" spans="1:32" x14ac:dyDescent="0.3">
      <c r="A89" s="254"/>
      <c r="B89" s="261"/>
      <c r="C89" s="6" t="s">
        <v>49</v>
      </c>
      <c r="D89" s="7">
        <f>SUM(D74:D88)</f>
        <v>7586400</v>
      </c>
      <c r="E89" s="7">
        <f t="shared" ref="E89:N89" si="25">SUM(E74:E88)</f>
        <v>0</v>
      </c>
      <c r="F89" s="7">
        <f t="shared" si="25"/>
        <v>0</v>
      </c>
      <c r="G89" s="7">
        <f t="shared" si="25"/>
        <v>0</v>
      </c>
      <c r="H89" s="7">
        <f t="shared" si="25"/>
        <v>0</v>
      </c>
      <c r="I89" s="7">
        <f t="shared" si="25"/>
        <v>0</v>
      </c>
      <c r="J89" s="7">
        <f t="shared" si="25"/>
        <v>7586400</v>
      </c>
      <c r="K89" s="7">
        <f t="shared" si="25"/>
        <v>-86887</v>
      </c>
      <c r="L89" s="7">
        <f t="shared" si="25"/>
        <v>0</v>
      </c>
      <c r="M89" s="7">
        <f t="shared" si="25"/>
        <v>0</v>
      </c>
      <c r="N89" s="7">
        <f t="shared" si="25"/>
        <v>0</v>
      </c>
      <c r="O89" s="7"/>
      <c r="P89" s="7">
        <f t="shared" si="23"/>
        <v>7499513</v>
      </c>
      <c r="Q89" s="7">
        <f>SUM(Q74:Q88)</f>
        <v>47675</v>
      </c>
      <c r="R89" s="7">
        <f t="shared" ref="R89:U89" si="26">SUM(R74:R88)</f>
        <v>0</v>
      </c>
      <c r="S89" s="7">
        <f t="shared" si="26"/>
        <v>0</v>
      </c>
      <c r="T89" s="7">
        <f t="shared" si="26"/>
        <v>0</v>
      </c>
      <c r="U89" s="7">
        <f t="shared" si="26"/>
        <v>0</v>
      </c>
      <c r="V89" s="7">
        <f t="shared" si="24"/>
        <v>7547188</v>
      </c>
      <c r="W89" s="7">
        <f>SUM(W74:W88)</f>
        <v>26709</v>
      </c>
      <c r="X89" s="7">
        <f t="shared" ref="X89:AC89" si="27">SUM(X74:X88)</f>
        <v>0</v>
      </c>
      <c r="Y89" s="7">
        <f t="shared" ref="Y89" si="28">SUM(Y74:Y88)</f>
        <v>0</v>
      </c>
      <c r="Z89" s="7">
        <f t="shared" ref="Z89" si="29">SUM(Z74:Z88)</f>
        <v>0</v>
      </c>
      <c r="AA89" s="7">
        <f t="shared" si="27"/>
        <v>0</v>
      </c>
      <c r="AB89" s="7">
        <f t="shared" si="27"/>
        <v>0</v>
      </c>
      <c r="AC89" s="7">
        <f t="shared" si="27"/>
        <v>0</v>
      </c>
      <c r="AD89" s="7">
        <f>SUM(V89:AC89)</f>
        <v>7573897</v>
      </c>
      <c r="AE89" s="110">
        <f>SUM(AE74:AE88)</f>
        <v>5711186</v>
      </c>
      <c r="AF89" s="110">
        <f t="shared" si="16"/>
        <v>1862711</v>
      </c>
    </row>
    <row r="90" spans="1:32" s="250" customFormat="1" x14ac:dyDescent="0.3">
      <c r="A90" s="254"/>
      <c r="B90" s="261"/>
      <c r="C90" s="251" t="s">
        <v>56</v>
      </c>
      <c r="D90" s="252"/>
      <c r="E90" s="252"/>
      <c r="F90" s="252"/>
      <c r="G90" s="252"/>
      <c r="H90" s="252"/>
      <c r="I90" s="253"/>
      <c r="J90" s="253"/>
      <c r="K90" s="253"/>
      <c r="L90" s="253"/>
      <c r="M90" s="253"/>
      <c r="N90" s="253"/>
      <c r="O90" s="253"/>
      <c r="P90" s="253">
        <v>0</v>
      </c>
      <c r="Q90" s="253">
        <v>98425</v>
      </c>
      <c r="R90" s="253"/>
      <c r="S90" s="253"/>
      <c r="T90" s="253"/>
      <c r="U90" s="253"/>
      <c r="V90" s="20">
        <f t="shared" si="24"/>
        <v>98425</v>
      </c>
      <c r="W90" s="253"/>
      <c r="X90" s="253"/>
      <c r="Y90" s="253"/>
      <c r="Z90" s="253"/>
      <c r="AA90" s="253"/>
      <c r="AB90" s="253"/>
      <c r="AC90" s="253"/>
      <c r="AD90" s="20">
        <f t="shared" si="8"/>
        <v>98425</v>
      </c>
      <c r="AE90" s="114">
        <v>98425</v>
      </c>
      <c r="AF90" s="3">
        <f t="shared" si="16"/>
        <v>0</v>
      </c>
    </row>
    <row r="91" spans="1:32" x14ac:dyDescent="0.3">
      <c r="A91" s="254"/>
      <c r="B91" s="261"/>
      <c r="C91" s="2" t="s">
        <v>50</v>
      </c>
      <c r="D91" s="3">
        <v>98425</v>
      </c>
      <c r="E91" s="3">
        <v>0</v>
      </c>
      <c r="F91" s="3"/>
      <c r="G91" s="3"/>
      <c r="H91" s="3"/>
      <c r="I91" s="20"/>
      <c r="J91" s="20">
        <f t="shared" ref="J91:J92" si="30">SUM(D91:I91)</f>
        <v>98425</v>
      </c>
      <c r="K91" s="20"/>
      <c r="L91" s="20"/>
      <c r="M91" s="20"/>
      <c r="N91" s="20"/>
      <c r="O91" s="20"/>
      <c r="P91" s="20">
        <f t="shared" si="23"/>
        <v>98425</v>
      </c>
      <c r="Q91" s="20">
        <v>-98425</v>
      </c>
      <c r="R91" s="20"/>
      <c r="S91" s="20"/>
      <c r="T91" s="20"/>
      <c r="U91" s="20"/>
      <c r="V91" s="20">
        <f t="shared" si="24"/>
        <v>0</v>
      </c>
      <c r="W91" s="20"/>
      <c r="X91" s="20"/>
      <c r="Y91" s="20"/>
      <c r="Z91" s="20"/>
      <c r="AA91" s="20"/>
      <c r="AB91" s="20"/>
      <c r="AC91" s="20"/>
      <c r="AD91" s="20">
        <f t="shared" si="8"/>
        <v>0</v>
      </c>
      <c r="AE91" s="108">
        <v>0</v>
      </c>
      <c r="AF91" s="3">
        <f t="shared" si="16"/>
        <v>0</v>
      </c>
    </row>
    <row r="92" spans="1:32" x14ac:dyDescent="0.3">
      <c r="A92" s="254"/>
      <c r="B92" s="261"/>
      <c r="C92" s="2" t="s">
        <v>51</v>
      </c>
      <c r="D92" s="3">
        <v>26575</v>
      </c>
      <c r="E92" s="3">
        <v>0</v>
      </c>
      <c r="F92" s="3"/>
      <c r="G92" s="3"/>
      <c r="H92" s="3"/>
      <c r="I92" s="20"/>
      <c r="J92" s="20">
        <f t="shared" si="30"/>
        <v>26575</v>
      </c>
      <c r="K92" s="20"/>
      <c r="L92" s="20"/>
      <c r="M92" s="20"/>
      <c r="N92" s="20"/>
      <c r="O92" s="20"/>
      <c r="P92" s="20">
        <f t="shared" si="23"/>
        <v>26575</v>
      </c>
      <c r="Q92" s="20"/>
      <c r="R92" s="20"/>
      <c r="S92" s="20"/>
      <c r="T92" s="20"/>
      <c r="U92" s="20"/>
      <c r="V92" s="20">
        <f t="shared" si="24"/>
        <v>26575</v>
      </c>
      <c r="W92" s="20"/>
      <c r="X92" s="20"/>
      <c r="Y92" s="20"/>
      <c r="Z92" s="20"/>
      <c r="AA92" s="20"/>
      <c r="AB92" s="20"/>
      <c r="AC92" s="20"/>
      <c r="AD92" s="20">
        <f t="shared" si="8"/>
        <v>26575</v>
      </c>
      <c r="AE92" s="108">
        <v>26575</v>
      </c>
      <c r="AF92" s="3">
        <f t="shared" si="16"/>
        <v>0</v>
      </c>
    </row>
    <row r="93" spans="1:32" x14ac:dyDescent="0.3">
      <c r="A93" s="254"/>
      <c r="B93" s="261"/>
      <c r="C93" s="6" t="s">
        <v>52</v>
      </c>
      <c r="D93" s="7">
        <f>SUM(D91:D92)</f>
        <v>125000</v>
      </c>
      <c r="E93" s="7"/>
      <c r="F93" s="7">
        <f t="shared" ref="F93:N93" si="31">SUM(F91:F92)</f>
        <v>0</v>
      </c>
      <c r="G93" s="7">
        <f t="shared" si="31"/>
        <v>0</v>
      </c>
      <c r="H93" s="7">
        <f t="shared" si="31"/>
        <v>0</v>
      </c>
      <c r="I93" s="7">
        <f t="shared" si="31"/>
        <v>0</v>
      </c>
      <c r="J93" s="7">
        <f t="shared" si="31"/>
        <v>125000</v>
      </c>
      <c r="K93" s="7">
        <f t="shared" si="31"/>
        <v>0</v>
      </c>
      <c r="L93" s="7">
        <f t="shared" si="31"/>
        <v>0</v>
      </c>
      <c r="M93" s="7">
        <f t="shared" si="31"/>
        <v>0</v>
      </c>
      <c r="N93" s="7">
        <f t="shared" si="31"/>
        <v>0</v>
      </c>
      <c r="O93" s="7"/>
      <c r="P93" s="7">
        <f t="shared" si="23"/>
        <v>125000</v>
      </c>
      <c r="Q93" s="7">
        <f>SUM(Q90:Q92)</f>
        <v>0</v>
      </c>
      <c r="R93" s="7">
        <f t="shared" ref="R93:AE93" si="32">SUM(R90:R92)</f>
        <v>0</v>
      </c>
      <c r="S93" s="7">
        <f t="shared" si="32"/>
        <v>0</v>
      </c>
      <c r="T93" s="7">
        <f t="shared" si="32"/>
        <v>0</v>
      </c>
      <c r="U93" s="7">
        <f t="shared" si="32"/>
        <v>0</v>
      </c>
      <c r="V93" s="7">
        <f t="shared" si="32"/>
        <v>125000</v>
      </c>
      <c r="W93" s="7">
        <f t="shared" si="32"/>
        <v>0</v>
      </c>
      <c r="X93" s="7">
        <f t="shared" si="32"/>
        <v>0</v>
      </c>
      <c r="Y93" s="7">
        <f t="shared" si="32"/>
        <v>0</v>
      </c>
      <c r="Z93" s="7">
        <f t="shared" si="32"/>
        <v>0</v>
      </c>
      <c r="AA93" s="7">
        <f t="shared" si="32"/>
        <v>0</v>
      </c>
      <c r="AB93" s="7">
        <f t="shared" si="32"/>
        <v>0</v>
      </c>
      <c r="AC93" s="7">
        <f t="shared" si="32"/>
        <v>0</v>
      </c>
      <c r="AD93" s="7">
        <f t="shared" si="32"/>
        <v>125000</v>
      </c>
      <c r="AE93" s="7">
        <f t="shared" si="32"/>
        <v>125000</v>
      </c>
      <c r="AF93" s="7">
        <f t="shared" si="16"/>
        <v>0</v>
      </c>
    </row>
    <row r="94" spans="1:32" x14ac:dyDescent="0.3">
      <c r="A94" s="281" t="s">
        <v>58</v>
      </c>
      <c r="B94" s="280" t="s">
        <v>46</v>
      </c>
      <c r="C94" s="15" t="s">
        <v>29</v>
      </c>
      <c r="D94" s="24"/>
      <c r="E94" s="11"/>
      <c r="F94" s="187"/>
      <c r="G94" s="187"/>
      <c r="H94" s="11"/>
      <c r="I94" s="201"/>
      <c r="J94" s="20">
        <f t="shared" ref="J94:J101" si="33">SUM(D94:I94)</f>
        <v>0</v>
      </c>
      <c r="K94" s="20"/>
      <c r="L94" s="20"/>
      <c r="M94" s="20"/>
      <c r="N94" s="20"/>
      <c r="O94" s="20"/>
      <c r="P94" s="20">
        <f t="shared" si="23"/>
        <v>0</v>
      </c>
      <c r="Q94" s="20"/>
      <c r="R94" s="20"/>
      <c r="S94" s="20"/>
      <c r="T94" s="20"/>
      <c r="U94" s="20"/>
      <c r="V94" s="20">
        <f t="shared" si="24"/>
        <v>0</v>
      </c>
      <c r="W94" s="20"/>
      <c r="X94" s="20"/>
      <c r="Y94" s="20"/>
      <c r="Z94" s="20"/>
      <c r="AA94" s="20"/>
      <c r="AB94" s="20"/>
      <c r="AC94" s="20"/>
      <c r="AD94" s="20">
        <f t="shared" si="8"/>
        <v>0</v>
      </c>
      <c r="AE94" s="108">
        <v>0</v>
      </c>
      <c r="AF94" s="3">
        <f t="shared" si="16"/>
        <v>0</v>
      </c>
    </row>
    <row r="95" spans="1:32" x14ac:dyDescent="0.3">
      <c r="A95" s="282"/>
      <c r="B95" s="286"/>
      <c r="C95" s="15" t="s">
        <v>31</v>
      </c>
      <c r="D95" s="24"/>
      <c r="E95" s="11"/>
      <c r="F95" s="187"/>
      <c r="G95" s="187"/>
      <c r="H95" s="11"/>
      <c r="I95" s="201"/>
      <c r="J95" s="20">
        <f t="shared" si="33"/>
        <v>0</v>
      </c>
      <c r="K95" s="20"/>
      <c r="L95" s="20"/>
      <c r="M95" s="20"/>
      <c r="N95" s="20"/>
      <c r="O95" s="20"/>
      <c r="P95" s="20">
        <f t="shared" si="23"/>
        <v>0</v>
      </c>
      <c r="Q95" s="20"/>
      <c r="R95" s="20"/>
      <c r="S95" s="20"/>
      <c r="T95" s="20"/>
      <c r="U95" s="20"/>
      <c r="V95" s="20">
        <f t="shared" si="24"/>
        <v>0</v>
      </c>
      <c r="W95" s="20"/>
      <c r="X95" s="20"/>
      <c r="Y95" s="20"/>
      <c r="Z95" s="20"/>
      <c r="AA95" s="20"/>
      <c r="AB95" s="20"/>
      <c r="AC95" s="20"/>
      <c r="AD95" s="20">
        <f t="shared" si="8"/>
        <v>0</v>
      </c>
      <c r="AE95" s="108">
        <v>0</v>
      </c>
      <c r="AF95" s="3">
        <f t="shared" si="16"/>
        <v>0</v>
      </c>
    </row>
    <row r="96" spans="1:32" x14ac:dyDescent="0.3">
      <c r="A96" s="281" t="s">
        <v>59</v>
      </c>
      <c r="B96" s="280" t="s">
        <v>23</v>
      </c>
      <c r="C96" s="15" t="s">
        <v>29</v>
      </c>
      <c r="D96" s="24"/>
      <c r="E96" s="11"/>
      <c r="F96" s="187"/>
      <c r="G96" s="187"/>
      <c r="H96" s="11"/>
      <c r="I96" s="201"/>
      <c r="J96" s="20">
        <f t="shared" si="33"/>
        <v>0</v>
      </c>
      <c r="K96" s="20"/>
      <c r="L96" s="20"/>
      <c r="M96" s="20"/>
      <c r="N96" s="20"/>
      <c r="O96" s="20"/>
      <c r="P96" s="20">
        <f t="shared" si="23"/>
        <v>0</v>
      </c>
      <c r="Q96" s="20"/>
      <c r="R96" s="20"/>
      <c r="S96" s="20"/>
      <c r="T96" s="20"/>
      <c r="U96" s="20"/>
      <c r="V96" s="20">
        <f t="shared" si="24"/>
        <v>0</v>
      </c>
      <c r="W96" s="20"/>
      <c r="X96" s="20"/>
      <c r="Y96" s="20"/>
      <c r="Z96" s="20"/>
      <c r="AA96" s="20"/>
      <c r="AB96" s="20"/>
      <c r="AC96" s="20"/>
      <c r="AD96" s="20">
        <f t="shared" si="8"/>
        <v>0</v>
      </c>
      <c r="AE96" s="108">
        <v>0</v>
      </c>
      <c r="AF96" s="3">
        <f t="shared" si="16"/>
        <v>0</v>
      </c>
    </row>
    <row r="97" spans="1:32" x14ac:dyDescent="0.3">
      <c r="A97" s="282"/>
      <c r="B97" s="286"/>
      <c r="C97" s="15" t="s">
        <v>31</v>
      </c>
      <c r="D97" s="24"/>
      <c r="E97" s="11"/>
      <c r="F97" s="187"/>
      <c r="G97" s="187"/>
      <c r="H97" s="11"/>
      <c r="I97" s="201"/>
      <c r="J97" s="20">
        <f t="shared" si="33"/>
        <v>0</v>
      </c>
      <c r="K97" s="20"/>
      <c r="L97" s="20"/>
      <c r="M97" s="20"/>
      <c r="N97" s="20"/>
      <c r="O97" s="20"/>
      <c r="P97" s="20">
        <f t="shared" si="23"/>
        <v>0</v>
      </c>
      <c r="Q97" s="20"/>
      <c r="R97" s="20"/>
      <c r="S97" s="20"/>
      <c r="T97" s="20"/>
      <c r="U97" s="20"/>
      <c r="V97" s="20">
        <f t="shared" si="24"/>
        <v>0</v>
      </c>
      <c r="W97" s="20"/>
      <c r="X97" s="20"/>
      <c r="Y97" s="20"/>
      <c r="Z97" s="20"/>
      <c r="AA97" s="20"/>
      <c r="AB97" s="20"/>
      <c r="AC97" s="20"/>
      <c r="AD97" s="20">
        <f t="shared" si="8"/>
        <v>0</v>
      </c>
      <c r="AE97" s="108">
        <v>0</v>
      </c>
      <c r="AF97" s="3">
        <f t="shared" si="16"/>
        <v>0</v>
      </c>
    </row>
    <row r="98" spans="1:32" x14ac:dyDescent="0.3">
      <c r="A98" s="281" t="s">
        <v>60</v>
      </c>
      <c r="B98" s="280" t="s">
        <v>23</v>
      </c>
      <c r="C98" s="15" t="s">
        <v>24</v>
      </c>
      <c r="D98" s="24">
        <v>18808000</v>
      </c>
      <c r="E98" s="11"/>
      <c r="F98" s="187"/>
      <c r="G98" s="187"/>
      <c r="H98" s="11"/>
      <c r="I98" s="201"/>
      <c r="J98" s="20">
        <f t="shared" si="33"/>
        <v>18808000</v>
      </c>
      <c r="K98" s="20"/>
      <c r="L98" s="20"/>
      <c r="M98" s="20"/>
      <c r="N98" s="20"/>
      <c r="O98" s="20"/>
      <c r="P98" s="20">
        <f t="shared" si="23"/>
        <v>18808000</v>
      </c>
      <c r="Q98" s="20"/>
      <c r="R98" s="20">
        <v>-2366526</v>
      </c>
      <c r="S98" s="20"/>
      <c r="T98" s="20"/>
      <c r="U98" s="20"/>
      <c r="V98" s="20">
        <f t="shared" si="24"/>
        <v>16441474</v>
      </c>
      <c r="W98" s="20"/>
      <c r="X98" s="20"/>
      <c r="Y98" s="20"/>
      <c r="Z98" s="20">
        <v>-107214</v>
      </c>
      <c r="AA98" s="20"/>
      <c r="AB98" s="20"/>
      <c r="AC98" s="20"/>
      <c r="AD98" s="20">
        <f t="shared" si="8"/>
        <v>16334260</v>
      </c>
      <c r="AE98" s="108">
        <v>16334260</v>
      </c>
      <c r="AF98" s="3">
        <f t="shared" si="16"/>
        <v>0</v>
      </c>
    </row>
    <row r="99" spans="1:32" x14ac:dyDescent="0.3">
      <c r="A99" s="282"/>
      <c r="B99" s="286"/>
      <c r="C99" s="15" t="s">
        <v>31</v>
      </c>
      <c r="D99" s="24">
        <v>2445040</v>
      </c>
      <c r="E99" s="11"/>
      <c r="F99" s="187"/>
      <c r="G99" s="187"/>
      <c r="H99" s="11"/>
      <c r="I99" s="201"/>
      <c r="J99" s="20">
        <f t="shared" si="33"/>
        <v>2445040</v>
      </c>
      <c r="K99" s="20"/>
      <c r="L99" s="20"/>
      <c r="M99" s="20"/>
      <c r="N99" s="20"/>
      <c r="O99" s="20"/>
      <c r="P99" s="20">
        <f t="shared" si="23"/>
        <v>2445040</v>
      </c>
      <c r="Q99" s="20"/>
      <c r="R99" s="20">
        <v>-307645</v>
      </c>
      <c r="S99" s="20"/>
      <c r="T99" s="20"/>
      <c r="U99" s="20"/>
      <c r="V99" s="20">
        <f t="shared" si="24"/>
        <v>2137395</v>
      </c>
      <c r="W99" s="20"/>
      <c r="X99" s="20"/>
      <c r="Y99" s="20"/>
      <c r="Z99" s="20">
        <v>-13939</v>
      </c>
      <c r="AA99" s="20"/>
      <c r="AB99" s="20"/>
      <c r="AC99" s="20"/>
      <c r="AD99" s="20">
        <f t="shared" si="8"/>
        <v>2123456</v>
      </c>
      <c r="AE99" s="108">
        <v>2123456</v>
      </c>
      <c r="AF99" s="3">
        <f t="shared" si="16"/>
        <v>0</v>
      </c>
    </row>
    <row r="100" spans="1:32" x14ac:dyDescent="0.3">
      <c r="A100" s="281" t="s">
        <v>61</v>
      </c>
      <c r="B100" s="280" t="s">
        <v>46</v>
      </c>
      <c r="C100" s="15" t="s">
        <v>24</v>
      </c>
      <c r="D100" s="24">
        <v>13647500</v>
      </c>
      <c r="E100" s="11"/>
      <c r="F100" s="187"/>
      <c r="G100" s="187"/>
      <c r="H100" s="11"/>
      <c r="I100" s="201"/>
      <c r="J100" s="20">
        <f t="shared" si="33"/>
        <v>13647500</v>
      </c>
      <c r="K100" s="20"/>
      <c r="L100" s="20"/>
      <c r="M100" s="20"/>
      <c r="N100" s="20"/>
      <c r="O100" s="20"/>
      <c r="P100" s="20">
        <f t="shared" si="23"/>
        <v>13647500</v>
      </c>
      <c r="Q100" s="20"/>
      <c r="R100" s="20">
        <v>-683099</v>
      </c>
      <c r="S100" s="20"/>
      <c r="T100" s="20"/>
      <c r="U100" s="20"/>
      <c r="V100" s="20">
        <f t="shared" si="24"/>
        <v>12964401</v>
      </c>
      <c r="W100" s="20"/>
      <c r="X100" s="20"/>
      <c r="Y100" s="20"/>
      <c r="Z100" s="20">
        <v>-45196</v>
      </c>
      <c r="AA100" s="20"/>
      <c r="AB100" s="20"/>
      <c r="AC100" s="20"/>
      <c r="AD100" s="20">
        <f t="shared" si="8"/>
        <v>12919205</v>
      </c>
      <c r="AE100" s="108">
        <v>12919205</v>
      </c>
      <c r="AF100" s="3">
        <f t="shared" si="16"/>
        <v>0</v>
      </c>
    </row>
    <row r="101" spans="1:32" x14ac:dyDescent="0.3">
      <c r="A101" s="282"/>
      <c r="B101" s="286"/>
      <c r="C101" s="15" t="s">
        <v>31</v>
      </c>
      <c r="D101" s="24">
        <v>1774175</v>
      </c>
      <c r="E101" s="11"/>
      <c r="F101" s="187"/>
      <c r="G101" s="187"/>
      <c r="H101" s="11"/>
      <c r="I101" s="201"/>
      <c r="J101" s="20">
        <f t="shared" si="33"/>
        <v>1774175</v>
      </c>
      <c r="K101" s="20"/>
      <c r="L101" s="20"/>
      <c r="M101" s="20"/>
      <c r="N101" s="20"/>
      <c r="O101" s="20"/>
      <c r="P101" s="20">
        <f t="shared" si="23"/>
        <v>1774175</v>
      </c>
      <c r="Q101" s="20"/>
      <c r="R101" s="20">
        <v>-88786</v>
      </c>
      <c r="S101" s="20"/>
      <c r="T101" s="20"/>
      <c r="U101" s="20"/>
      <c r="V101" s="20">
        <f t="shared" si="24"/>
        <v>1685389</v>
      </c>
      <c r="W101" s="20"/>
      <c r="X101" s="20"/>
      <c r="Y101" s="20"/>
      <c r="Z101" s="20">
        <v>-5868</v>
      </c>
      <c r="AA101" s="20"/>
      <c r="AB101" s="20"/>
      <c r="AC101" s="20"/>
      <c r="AD101" s="20">
        <f t="shared" si="8"/>
        <v>1679521</v>
      </c>
      <c r="AE101" s="108">
        <v>1679521</v>
      </c>
      <c r="AF101" s="3">
        <f t="shared" si="16"/>
        <v>0</v>
      </c>
    </row>
    <row r="102" spans="1:32" x14ac:dyDescent="0.3">
      <c r="A102" s="319" t="s">
        <v>76</v>
      </c>
      <c r="B102" s="320"/>
      <c r="C102" s="321"/>
      <c r="D102" s="80">
        <f t="shared" ref="D102:AE102" si="34">SUM(D40+D41+D57+D61+D72+D73+D89+D93+D94+D95+D96+D97+D98+D99+D100+D101)</f>
        <v>167981410</v>
      </c>
      <c r="E102" s="80">
        <f>SUM(E40+E41+E57+E61+E72+E73+E89+E93+E94+E95+E96+E97+E98+E99+E100+E101+E91+E92)</f>
        <v>0</v>
      </c>
      <c r="F102" s="80">
        <f t="shared" si="34"/>
        <v>0</v>
      </c>
      <c r="G102" s="80">
        <f t="shared" si="34"/>
        <v>0</v>
      </c>
      <c r="H102" s="80">
        <f t="shared" si="34"/>
        <v>0</v>
      </c>
      <c r="I102" s="80">
        <f t="shared" si="34"/>
        <v>0</v>
      </c>
      <c r="J102" s="80">
        <f t="shared" si="34"/>
        <v>167981410</v>
      </c>
      <c r="K102" s="80">
        <f t="shared" si="34"/>
        <v>-116887</v>
      </c>
      <c r="L102" s="80">
        <f t="shared" si="34"/>
        <v>0</v>
      </c>
      <c r="M102" s="80">
        <f t="shared" si="34"/>
        <v>0</v>
      </c>
      <c r="N102" s="80">
        <f t="shared" si="34"/>
        <v>0</v>
      </c>
      <c r="O102" s="80"/>
      <c r="P102" s="80">
        <f t="shared" si="23"/>
        <v>167864523</v>
      </c>
      <c r="Q102" s="80">
        <f t="shared" si="34"/>
        <v>0</v>
      </c>
      <c r="R102" s="80">
        <f t="shared" si="34"/>
        <v>-3446056</v>
      </c>
      <c r="S102" s="80">
        <f t="shared" si="34"/>
        <v>0</v>
      </c>
      <c r="T102" s="80">
        <f t="shared" si="34"/>
        <v>0</v>
      </c>
      <c r="U102" s="80">
        <f>SUM(U40+U41+U57+U61+U72+U73+U89+U93+U94+U95+U96+U97+U98+U99+U100+U101)</f>
        <v>0</v>
      </c>
      <c r="V102" s="80">
        <f t="shared" si="24"/>
        <v>164418467</v>
      </c>
      <c r="W102" s="80">
        <f t="shared" si="34"/>
        <v>0</v>
      </c>
      <c r="X102" s="80">
        <f t="shared" si="34"/>
        <v>55199</v>
      </c>
      <c r="Y102" s="80">
        <f t="shared" si="34"/>
        <v>0</v>
      </c>
      <c r="Z102" s="80">
        <f t="shared" si="34"/>
        <v>-172217</v>
      </c>
      <c r="AA102" s="80">
        <f t="shared" si="34"/>
        <v>0</v>
      </c>
      <c r="AB102" s="80">
        <f t="shared" si="34"/>
        <v>0</v>
      </c>
      <c r="AC102" s="80">
        <f t="shared" si="34"/>
        <v>0</v>
      </c>
      <c r="AD102" s="80">
        <f t="shared" si="8"/>
        <v>164301449</v>
      </c>
      <c r="AE102" s="80">
        <f t="shared" si="34"/>
        <v>151098859</v>
      </c>
      <c r="AF102" s="80">
        <f t="shared" si="16"/>
        <v>13202590</v>
      </c>
    </row>
    <row r="103" spans="1:32" x14ac:dyDescent="0.3">
      <c r="A103" s="254" t="s">
        <v>12</v>
      </c>
      <c r="B103" s="261" t="s">
        <v>23</v>
      </c>
      <c r="C103" s="2" t="s">
        <v>24</v>
      </c>
      <c r="D103" s="3">
        <v>7201125</v>
      </c>
      <c r="E103" s="3"/>
      <c r="F103" s="3"/>
      <c r="G103" s="3"/>
      <c r="H103" s="3"/>
      <c r="I103" s="20"/>
      <c r="J103" s="20">
        <f t="shared" ref="J103:J109" si="35">SUM(D103:I103)</f>
        <v>7201125</v>
      </c>
      <c r="K103" s="20"/>
      <c r="L103" s="20"/>
      <c r="M103" s="20"/>
      <c r="N103" s="20"/>
      <c r="O103" s="20"/>
      <c r="P103" s="20">
        <f t="shared" si="23"/>
        <v>7201125</v>
      </c>
      <c r="Q103" s="20">
        <f>148706-45753</f>
        <v>102953</v>
      </c>
      <c r="R103" s="20"/>
      <c r="S103" s="20"/>
      <c r="T103" s="20"/>
      <c r="U103" s="20"/>
      <c r="V103" s="20">
        <f t="shared" si="24"/>
        <v>7304078</v>
      </c>
      <c r="W103" s="20">
        <v>165971</v>
      </c>
      <c r="X103" s="20"/>
      <c r="Y103" s="20"/>
      <c r="Z103" s="20"/>
      <c r="AA103" s="20"/>
      <c r="AB103" s="20"/>
      <c r="AC103" s="20"/>
      <c r="AD103" s="20">
        <f>SUM(V103:AC103)</f>
        <v>7470049</v>
      </c>
      <c r="AE103" s="108">
        <v>7470049</v>
      </c>
      <c r="AF103" s="3">
        <f t="shared" si="16"/>
        <v>0</v>
      </c>
    </row>
    <row r="104" spans="1:32" x14ac:dyDescent="0.3">
      <c r="A104" s="254"/>
      <c r="B104" s="261"/>
      <c r="C104" s="2" t="s">
        <v>25</v>
      </c>
      <c r="D104" s="3">
        <v>200000</v>
      </c>
      <c r="E104" s="3"/>
      <c r="F104" s="3"/>
      <c r="G104" s="3"/>
      <c r="H104" s="3"/>
      <c r="I104" s="20"/>
      <c r="J104" s="20">
        <f t="shared" si="35"/>
        <v>200000</v>
      </c>
      <c r="K104" s="20"/>
      <c r="L104" s="20"/>
      <c r="M104" s="20"/>
      <c r="N104" s="20"/>
      <c r="O104" s="20"/>
      <c r="P104" s="20">
        <f t="shared" si="23"/>
        <v>200000</v>
      </c>
      <c r="Q104" s="20">
        <f>80000+45753</f>
        <v>125753</v>
      </c>
      <c r="R104" s="20"/>
      <c r="S104" s="20"/>
      <c r="T104" s="20"/>
      <c r="U104" s="20"/>
      <c r="V104" s="20">
        <f t="shared" si="24"/>
        <v>325753</v>
      </c>
      <c r="W104" s="20"/>
      <c r="X104" s="20"/>
      <c r="Y104" s="20"/>
      <c r="Z104" s="20"/>
      <c r="AA104" s="20"/>
      <c r="AB104" s="20"/>
      <c r="AC104" s="20"/>
      <c r="AD104" s="20">
        <f t="shared" si="8"/>
        <v>325753</v>
      </c>
      <c r="AE104" s="108">
        <v>325753</v>
      </c>
      <c r="AF104" s="3">
        <f t="shared" si="16"/>
        <v>0</v>
      </c>
    </row>
    <row r="105" spans="1:32" x14ac:dyDescent="0.3">
      <c r="A105" s="254"/>
      <c r="B105" s="261"/>
      <c r="C105" s="2" t="s">
        <v>26</v>
      </c>
      <c r="D105" s="3">
        <v>13350</v>
      </c>
      <c r="E105" s="3"/>
      <c r="F105" s="3"/>
      <c r="G105" s="3"/>
      <c r="H105" s="3"/>
      <c r="I105" s="20"/>
      <c r="J105" s="20">
        <f t="shared" si="35"/>
        <v>13350</v>
      </c>
      <c r="K105" s="20"/>
      <c r="L105" s="20"/>
      <c r="M105" s="20"/>
      <c r="N105" s="20"/>
      <c r="O105" s="20"/>
      <c r="P105" s="20">
        <f t="shared" si="23"/>
        <v>13350</v>
      </c>
      <c r="Q105" s="20"/>
      <c r="R105" s="20"/>
      <c r="S105" s="20"/>
      <c r="T105" s="20"/>
      <c r="U105" s="20"/>
      <c r="V105" s="20">
        <f t="shared" si="24"/>
        <v>13350</v>
      </c>
      <c r="W105" s="20">
        <v>-3621</v>
      </c>
      <c r="X105" s="20"/>
      <c r="Y105" s="20"/>
      <c r="Z105" s="20"/>
      <c r="AA105" s="20"/>
      <c r="AB105" s="20"/>
      <c r="AC105" s="20"/>
      <c r="AD105" s="20">
        <f t="shared" si="8"/>
        <v>9729</v>
      </c>
      <c r="AE105" s="108">
        <v>9729</v>
      </c>
      <c r="AF105" s="3">
        <f t="shared" si="16"/>
        <v>0</v>
      </c>
    </row>
    <row r="106" spans="1:32" x14ac:dyDescent="0.3">
      <c r="A106" s="254"/>
      <c r="B106" s="261"/>
      <c r="C106" s="2" t="s">
        <v>27</v>
      </c>
      <c r="D106" s="3">
        <v>343000</v>
      </c>
      <c r="E106" s="3"/>
      <c r="F106" s="3"/>
      <c r="G106" s="3"/>
      <c r="H106" s="3"/>
      <c r="I106" s="20"/>
      <c r="J106" s="20">
        <f t="shared" si="35"/>
        <v>343000</v>
      </c>
      <c r="K106" s="20"/>
      <c r="L106" s="20"/>
      <c r="M106" s="20"/>
      <c r="N106" s="20"/>
      <c r="O106" s="20"/>
      <c r="P106" s="20">
        <f t="shared" si="23"/>
        <v>343000</v>
      </c>
      <c r="Q106" s="20">
        <v>-228706</v>
      </c>
      <c r="R106" s="20"/>
      <c r="S106" s="20"/>
      <c r="T106" s="20"/>
      <c r="U106" s="20"/>
      <c r="V106" s="20">
        <f t="shared" si="24"/>
        <v>114294</v>
      </c>
      <c r="W106" s="20"/>
      <c r="X106" s="20"/>
      <c r="Y106" s="20"/>
      <c r="Z106" s="20"/>
      <c r="AA106" s="20"/>
      <c r="AB106" s="20"/>
      <c r="AC106" s="20"/>
      <c r="AD106" s="20">
        <f t="shared" si="8"/>
        <v>114294</v>
      </c>
      <c r="AE106" s="108">
        <v>114294</v>
      </c>
      <c r="AF106" s="3">
        <f t="shared" si="16"/>
        <v>0</v>
      </c>
    </row>
    <row r="107" spans="1:32" x14ac:dyDescent="0.3">
      <c r="A107" s="254"/>
      <c r="B107" s="261"/>
      <c r="C107" s="2" t="s">
        <v>28</v>
      </c>
      <c r="D107" s="3">
        <v>24000</v>
      </c>
      <c r="E107" s="3"/>
      <c r="F107" s="3"/>
      <c r="G107" s="3"/>
      <c r="H107" s="3"/>
      <c r="I107" s="20"/>
      <c r="J107" s="20">
        <f t="shared" si="35"/>
        <v>24000</v>
      </c>
      <c r="K107" s="20"/>
      <c r="L107" s="20"/>
      <c r="M107" s="20"/>
      <c r="N107" s="20"/>
      <c r="O107" s="20"/>
      <c r="P107" s="20">
        <f t="shared" si="23"/>
        <v>24000</v>
      </c>
      <c r="Q107" s="20">
        <v>-24000</v>
      </c>
      <c r="R107" s="20"/>
      <c r="S107" s="20"/>
      <c r="T107" s="20"/>
      <c r="U107" s="20"/>
      <c r="V107" s="20">
        <f t="shared" si="24"/>
        <v>0</v>
      </c>
      <c r="W107" s="20"/>
      <c r="X107" s="20"/>
      <c r="Y107" s="20"/>
      <c r="Z107" s="20"/>
      <c r="AA107" s="20"/>
      <c r="AB107" s="20"/>
      <c r="AC107" s="20"/>
      <c r="AD107" s="20">
        <f t="shared" si="8"/>
        <v>0</v>
      </c>
      <c r="AE107" s="108">
        <v>0</v>
      </c>
      <c r="AF107" s="3">
        <f t="shared" si="16"/>
        <v>0</v>
      </c>
    </row>
    <row r="108" spans="1:32" x14ac:dyDescent="0.3">
      <c r="A108" s="254"/>
      <c r="B108" s="261"/>
      <c r="C108" s="2" t="s">
        <v>29</v>
      </c>
      <c r="D108" s="3">
        <v>0</v>
      </c>
      <c r="E108" s="3"/>
      <c r="F108" s="3"/>
      <c r="G108" s="3"/>
      <c r="H108" s="3"/>
      <c r="I108" s="20"/>
      <c r="J108" s="20">
        <f t="shared" si="35"/>
        <v>0</v>
      </c>
      <c r="K108" s="20"/>
      <c r="L108" s="20"/>
      <c r="M108" s="20"/>
      <c r="N108" s="20"/>
      <c r="O108" s="20"/>
      <c r="P108" s="20">
        <f t="shared" si="23"/>
        <v>0</v>
      </c>
      <c r="Q108" s="20">
        <v>24000</v>
      </c>
      <c r="R108" s="20"/>
      <c r="S108" s="20"/>
      <c r="T108" s="20"/>
      <c r="U108" s="20"/>
      <c r="V108" s="20">
        <f t="shared" si="24"/>
        <v>24000</v>
      </c>
      <c r="W108" s="20"/>
      <c r="X108" s="20"/>
      <c r="Y108" s="20"/>
      <c r="Z108" s="20"/>
      <c r="AA108" s="20"/>
      <c r="AB108" s="20"/>
      <c r="AC108" s="20"/>
      <c r="AD108" s="20">
        <f t="shared" si="8"/>
        <v>24000</v>
      </c>
      <c r="AE108" s="108">
        <v>24000</v>
      </c>
      <c r="AF108" s="3">
        <f t="shared" si="16"/>
        <v>0</v>
      </c>
    </row>
    <row r="109" spans="1:32" x14ac:dyDescent="0.3">
      <c r="A109" s="254"/>
      <c r="B109" s="261"/>
      <c r="C109" s="2" t="s">
        <v>30</v>
      </c>
      <c r="D109" s="3">
        <v>0</v>
      </c>
      <c r="E109" s="3"/>
      <c r="F109" s="3"/>
      <c r="G109" s="3"/>
      <c r="H109" s="3"/>
      <c r="I109" s="20"/>
      <c r="J109" s="20">
        <f t="shared" si="35"/>
        <v>0</v>
      </c>
      <c r="K109" s="20"/>
      <c r="L109" s="20"/>
      <c r="M109" s="20"/>
      <c r="N109" s="20"/>
      <c r="O109" s="20"/>
      <c r="P109" s="20">
        <f t="shared" si="23"/>
        <v>0</v>
      </c>
      <c r="Q109" s="20"/>
      <c r="R109" s="20"/>
      <c r="S109" s="20"/>
      <c r="T109" s="20"/>
      <c r="U109" s="20"/>
      <c r="V109" s="20">
        <f t="shared" si="24"/>
        <v>0</v>
      </c>
      <c r="W109" s="20"/>
      <c r="X109" s="20"/>
      <c r="Y109" s="20"/>
      <c r="Z109" s="20"/>
      <c r="AA109" s="20"/>
      <c r="AB109" s="20"/>
      <c r="AC109" s="20"/>
      <c r="AD109" s="20">
        <f t="shared" si="8"/>
        <v>0</v>
      </c>
      <c r="AE109" s="108">
        <v>0</v>
      </c>
      <c r="AF109" s="3">
        <f t="shared" si="16"/>
        <v>0</v>
      </c>
    </row>
    <row r="110" spans="1:32" x14ac:dyDescent="0.3">
      <c r="A110" s="254"/>
      <c r="B110" s="261"/>
      <c r="C110" s="6" t="s">
        <v>53</v>
      </c>
      <c r="D110" s="7">
        <f>SUM(D103:D109)</f>
        <v>7781475</v>
      </c>
      <c r="E110" s="7">
        <f t="shared" ref="E110:AE110" si="36">SUM(E103:E109)</f>
        <v>0</v>
      </c>
      <c r="F110" s="7">
        <f t="shared" si="36"/>
        <v>0</v>
      </c>
      <c r="G110" s="7">
        <f t="shared" si="36"/>
        <v>0</v>
      </c>
      <c r="H110" s="7">
        <f t="shared" si="36"/>
        <v>0</v>
      </c>
      <c r="I110" s="7">
        <f t="shared" si="36"/>
        <v>0</v>
      </c>
      <c r="J110" s="7">
        <f t="shared" si="36"/>
        <v>7781475</v>
      </c>
      <c r="K110" s="7">
        <f t="shared" si="36"/>
        <v>0</v>
      </c>
      <c r="L110" s="7">
        <f t="shared" si="36"/>
        <v>0</v>
      </c>
      <c r="M110" s="7">
        <f t="shared" si="36"/>
        <v>0</v>
      </c>
      <c r="N110" s="7">
        <f t="shared" si="36"/>
        <v>0</v>
      </c>
      <c r="O110" s="7"/>
      <c r="P110" s="7">
        <f>SUM(J110:O110)</f>
        <v>7781475</v>
      </c>
      <c r="Q110" s="7">
        <f>SUM(Q103:Q109)</f>
        <v>0</v>
      </c>
      <c r="R110" s="7">
        <f t="shared" ref="R110:U110" si="37">SUM(R103:R109)</f>
        <v>0</v>
      </c>
      <c r="S110" s="7">
        <f t="shared" si="37"/>
        <v>0</v>
      </c>
      <c r="T110" s="7">
        <f>SUM(T103:T109)</f>
        <v>0</v>
      </c>
      <c r="U110" s="7">
        <f t="shared" si="37"/>
        <v>0</v>
      </c>
      <c r="V110" s="7">
        <f t="shared" si="24"/>
        <v>7781475</v>
      </c>
      <c r="W110" s="7">
        <f>SUM(W103:W109)</f>
        <v>162350</v>
      </c>
      <c r="X110" s="7">
        <f t="shared" ref="X110:AC110" si="38">SUM(X103:X109)</f>
        <v>0</v>
      </c>
      <c r="Y110" s="7">
        <f t="shared" ref="Y110" si="39">SUM(Y103:Y109)</f>
        <v>0</v>
      </c>
      <c r="Z110" s="7">
        <f t="shared" ref="Z110" si="40">SUM(Z103:Z109)</f>
        <v>0</v>
      </c>
      <c r="AA110" s="7">
        <f t="shared" ref="AA110" si="41">SUM(AA103:AA109)</f>
        <v>0</v>
      </c>
      <c r="AB110" s="7">
        <f t="shared" si="38"/>
        <v>0</v>
      </c>
      <c r="AC110" s="7">
        <f t="shared" si="38"/>
        <v>0</v>
      </c>
      <c r="AD110" s="7">
        <f>SUM(V110:AC110)</f>
        <v>7943825</v>
      </c>
      <c r="AE110" s="110">
        <f t="shared" si="36"/>
        <v>7943825</v>
      </c>
      <c r="AF110" s="110">
        <f t="shared" si="16"/>
        <v>0</v>
      </c>
    </row>
    <row r="111" spans="1:32" x14ac:dyDescent="0.3">
      <c r="A111" s="254"/>
      <c r="B111" s="261"/>
      <c r="C111" s="82" t="s">
        <v>31</v>
      </c>
      <c r="D111" s="83">
        <v>1186120</v>
      </c>
      <c r="E111" s="83"/>
      <c r="F111" s="83"/>
      <c r="G111" s="83"/>
      <c r="H111" s="83"/>
      <c r="I111" s="191"/>
      <c r="J111" s="84">
        <f t="shared" ref="J111" si="42">SUM(D111:I111)</f>
        <v>1186120</v>
      </c>
      <c r="K111" s="84"/>
      <c r="L111" s="84"/>
      <c r="M111" s="84"/>
      <c r="N111" s="84"/>
      <c r="O111" s="84"/>
      <c r="P111" s="84">
        <f t="shared" si="23"/>
        <v>1186120</v>
      </c>
      <c r="Q111" s="84"/>
      <c r="R111" s="84"/>
      <c r="S111" s="84"/>
      <c r="T111" s="84"/>
      <c r="U111" s="84"/>
      <c r="V111" s="84">
        <f t="shared" si="24"/>
        <v>1186120</v>
      </c>
      <c r="W111" s="84">
        <v>-87966</v>
      </c>
      <c r="X111" s="84"/>
      <c r="Y111" s="84"/>
      <c r="Z111" s="84"/>
      <c r="AA111" s="84"/>
      <c r="AB111" s="84"/>
      <c r="AC111" s="84"/>
      <c r="AD111" s="84">
        <f t="shared" ref="AD111:AD183" si="43">SUM(V111:AC111)</f>
        <v>1098154</v>
      </c>
      <c r="AE111" s="111">
        <v>1098154</v>
      </c>
      <c r="AF111" s="111">
        <f t="shared" si="16"/>
        <v>0</v>
      </c>
    </row>
    <row r="112" spans="1:32" x14ac:dyDescent="0.3">
      <c r="A112" s="254"/>
      <c r="B112" s="261"/>
      <c r="C112" s="2" t="s">
        <v>32</v>
      </c>
      <c r="D112" s="3">
        <v>100000</v>
      </c>
      <c r="E112" s="3"/>
      <c r="F112" s="3"/>
      <c r="G112" s="3"/>
      <c r="H112" s="3"/>
      <c r="I112" s="20"/>
      <c r="J112" s="20">
        <f t="shared" ref="J112:J123" si="44">SUM(D112:I112)</f>
        <v>100000</v>
      </c>
      <c r="K112" s="20"/>
      <c r="L112" s="20"/>
      <c r="M112" s="20"/>
      <c r="N112" s="20"/>
      <c r="O112" s="20"/>
      <c r="P112" s="20">
        <f t="shared" si="23"/>
        <v>100000</v>
      </c>
      <c r="Q112" s="20">
        <v>-100000</v>
      </c>
      <c r="R112" s="20"/>
      <c r="S112" s="20"/>
      <c r="T112" s="20"/>
      <c r="U112" s="20"/>
      <c r="V112" s="20">
        <f t="shared" si="24"/>
        <v>0</v>
      </c>
      <c r="W112" s="20"/>
      <c r="X112" s="20"/>
      <c r="Y112" s="20"/>
      <c r="Z112" s="20"/>
      <c r="AA112" s="20"/>
      <c r="AB112" s="20"/>
      <c r="AC112" s="20"/>
      <c r="AD112" s="20">
        <f t="shared" si="43"/>
        <v>0</v>
      </c>
      <c r="AE112" s="108">
        <v>0</v>
      </c>
      <c r="AF112" s="3">
        <f t="shared" si="16"/>
        <v>0</v>
      </c>
    </row>
    <row r="113" spans="1:32" x14ac:dyDescent="0.3">
      <c r="A113" s="254"/>
      <c r="B113" s="261"/>
      <c r="C113" s="2" t="s">
        <v>33</v>
      </c>
      <c r="D113" s="3">
        <v>180000</v>
      </c>
      <c r="E113" s="3"/>
      <c r="F113" s="3"/>
      <c r="G113" s="3"/>
      <c r="H113" s="3"/>
      <c r="I113" s="20"/>
      <c r="J113" s="20">
        <f t="shared" si="44"/>
        <v>180000</v>
      </c>
      <c r="K113" s="20"/>
      <c r="L113" s="20"/>
      <c r="M113" s="20"/>
      <c r="N113" s="20"/>
      <c r="O113" s="20"/>
      <c r="P113" s="20">
        <f t="shared" si="23"/>
        <v>180000</v>
      </c>
      <c r="Q113" s="20">
        <v>625776</v>
      </c>
      <c r="R113" s="20"/>
      <c r="S113" s="20"/>
      <c r="T113" s="20"/>
      <c r="U113" s="20"/>
      <c r="V113" s="20">
        <f t="shared" si="24"/>
        <v>805776</v>
      </c>
      <c r="W113" s="20">
        <v>103730</v>
      </c>
      <c r="X113" s="20"/>
      <c r="Y113" s="20"/>
      <c r="Z113" s="20"/>
      <c r="AA113" s="20"/>
      <c r="AB113" s="20"/>
      <c r="AC113" s="20"/>
      <c r="AD113" s="20">
        <f t="shared" si="43"/>
        <v>909506</v>
      </c>
      <c r="AE113" s="108">
        <v>909506</v>
      </c>
      <c r="AF113" s="3">
        <f t="shared" si="16"/>
        <v>0</v>
      </c>
    </row>
    <row r="114" spans="1:32" x14ac:dyDescent="0.3">
      <c r="A114" s="254"/>
      <c r="B114" s="261"/>
      <c r="C114" s="2" t="s">
        <v>34</v>
      </c>
      <c r="D114" s="3">
        <v>179093</v>
      </c>
      <c r="E114" s="3"/>
      <c r="F114" s="3"/>
      <c r="G114" s="3"/>
      <c r="H114" s="3"/>
      <c r="I114" s="20"/>
      <c r="J114" s="20">
        <f t="shared" si="44"/>
        <v>179093</v>
      </c>
      <c r="K114" s="20"/>
      <c r="L114" s="20"/>
      <c r="M114" s="20"/>
      <c r="N114" s="20"/>
      <c r="O114" s="20"/>
      <c r="P114" s="20">
        <f t="shared" si="23"/>
        <v>179093</v>
      </c>
      <c r="Q114" s="20">
        <v>-97535</v>
      </c>
      <c r="R114" s="20"/>
      <c r="S114" s="20"/>
      <c r="T114" s="20"/>
      <c r="U114" s="20"/>
      <c r="V114" s="20">
        <f t="shared" si="24"/>
        <v>81558</v>
      </c>
      <c r="W114" s="20">
        <f>-39518-30532</f>
        <v>-70050</v>
      </c>
      <c r="X114" s="20"/>
      <c r="Y114" s="20"/>
      <c r="Z114" s="20"/>
      <c r="AA114" s="20"/>
      <c r="AB114" s="20"/>
      <c r="AC114" s="20"/>
      <c r="AD114" s="20">
        <f t="shared" si="43"/>
        <v>11508</v>
      </c>
      <c r="AE114" s="108">
        <v>11040</v>
      </c>
      <c r="AF114" s="3">
        <f t="shared" si="16"/>
        <v>468</v>
      </c>
    </row>
    <row r="115" spans="1:32" x14ac:dyDescent="0.3">
      <c r="A115" s="254"/>
      <c r="B115" s="261"/>
      <c r="C115" s="2" t="s">
        <v>35</v>
      </c>
      <c r="D115" s="3">
        <v>21227</v>
      </c>
      <c r="E115" s="3"/>
      <c r="F115" s="3"/>
      <c r="G115" s="3"/>
      <c r="H115" s="3"/>
      <c r="I115" s="20"/>
      <c r="J115" s="20">
        <f t="shared" si="44"/>
        <v>21227</v>
      </c>
      <c r="K115" s="20"/>
      <c r="L115" s="20"/>
      <c r="M115" s="20"/>
      <c r="N115" s="20"/>
      <c r="O115" s="20"/>
      <c r="P115" s="20">
        <f t="shared" si="23"/>
        <v>21227</v>
      </c>
      <c r="Q115" s="20"/>
      <c r="R115" s="20"/>
      <c r="S115" s="20"/>
      <c r="T115" s="20"/>
      <c r="U115" s="20"/>
      <c r="V115" s="20">
        <f t="shared" si="24"/>
        <v>21227</v>
      </c>
      <c r="W115" s="20"/>
      <c r="X115" s="20"/>
      <c r="Y115" s="20"/>
      <c r="Z115" s="20"/>
      <c r="AA115" s="20"/>
      <c r="AB115" s="20"/>
      <c r="AC115" s="20"/>
      <c r="AD115" s="20">
        <f t="shared" si="43"/>
        <v>21227</v>
      </c>
      <c r="AE115" s="108">
        <v>8230</v>
      </c>
      <c r="AF115" s="3">
        <f t="shared" si="16"/>
        <v>12997</v>
      </c>
    </row>
    <row r="116" spans="1:32" x14ac:dyDescent="0.3">
      <c r="A116" s="254"/>
      <c r="B116" s="261"/>
      <c r="C116" s="2" t="s">
        <v>195</v>
      </c>
      <c r="D116" s="3">
        <v>114742</v>
      </c>
      <c r="E116" s="3"/>
      <c r="F116" s="3"/>
      <c r="G116" s="3"/>
      <c r="H116" s="3"/>
      <c r="I116" s="20"/>
      <c r="J116" s="20">
        <f t="shared" si="44"/>
        <v>114742</v>
      </c>
      <c r="K116" s="20"/>
      <c r="L116" s="20"/>
      <c r="M116" s="20"/>
      <c r="N116" s="20"/>
      <c r="O116" s="20"/>
      <c r="P116" s="20">
        <f t="shared" si="23"/>
        <v>114742</v>
      </c>
      <c r="Q116" s="20"/>
      <c r="R116" s="20"/>
      <c r="S116" s="20"/>
      <c r="T116" s="20"/>
      <c r="U116" s="20"/>
      <c r="V116" s="20">
        <f t="shared" si="24"/>
        <v>114742</v>
      </c>
      <c r="W116" s="20">
        <v>-23666</v>
      </c>
      <c r="X116" s="20"/>
      <c r="Y116" s="20"/>
      <c r="Z116" s="20"/>
      <c r="AA116" s="20"/>
      <c r="AB116" s="20"/>
      <c r="AC116" s="20"/>
      <c r="AD116" s="20">
        <f t="shared" si="43"/>
        <v>91076</v>
      </c>
      <c r="AE116" s="108">
        <v>91076</v>
      </c>
      <c r="AF116" s="3">
        <f t="shared" si="16"/>
        <v>0</v>
      </c>
    </row>
    <row r="117" spans="1:32" x14ac:dyDescent="0.3">
      <c r="A117" s="254"/>
      <c r="B117" s="261"/>
      <c r="C117" s="2" t="s">
        <v>196</v>
      </c>
      <c r="D117" s="3">
        <v>2250</v>
      </c>
      <c r="E117" s="3"/>
      <c r="F117" s="3"/>
      <c r="G117" s="3"/>
      <c r="H117" s="3"/>
      <c r="I117" s="20"/>
      <c r="J117" s="20">
        <f t="shared" si="44"/>
        <v>2250</v>
      </c>
      <c r="K117" s="20">
        <v>2500</v>
      </c>
      <c r="L117" s="20"/>
      <c r="M117" s="20"/>
      <c r="N117" s="20"/>
      <c r="O117" s="20"/>
      <c r="P117" s="20">
        <f t="shared" si="23"/>
        <v>4750</v>
      </c>
      <c r="Q117" s="20"/>
      <c r="R117" s="20"/>
      <c r="S117" s="20"/>
      <c r="T117" s="20"/>
      <c r="U117" s="20"/>
      <c r="V117" s="20">
        <f t="shared" si="24"/>
        <v>4750</v>
      </c>
      <c r="W117" s="20"/>
      <c r="X117" s="20"/>
      <c r="Y117" s="20"/>
      <c r="Z117" s="20"/>
      <c r="AA117" s="20"/>
      <c r="AB117" s="20"/>
      <c r="AC117" s="20"/>
      <c r="AD117" s="20">
        <f t="shared" si="43"/>
        <v>4750</v>
      </c>
      <c r="AE117" s="108">
        <v>3854</v>
      </c>
      <c r="AF117" s="3">
        <f t="shared" si="16"/>
        <v>896</v>
      </c>
    </row>
    <row r="118" spans="1:32" x14ac:dyDescent="0.3">
      <c r="A118" s="254"/>
      <c r="B118" s="261"/>
      <c r="C118" s="2" t="s">
        <v>38</v>
      </c>
      <c r="D118" s="3">
        <v>150000</v>
      </c>
      <c r="E118" s="3"/>
      <c r="F118" s="3"/>
      <c r="G118" s="3"/>
      <c r="H118" s="3"/>
      <c r="I118" s="20"/>
      <c r="J118" s="20">
        <f t="shared" si="44"/>
        <v>150000</v>
      </c>
      <c r="K118" s="20"/>
      <c r="L118" s="20"/>
      <c r="M118" s="20"/>
      <c r="N118" s="20"/>
      <c r="O118" s="20"/>
      <c r="P118" s="20">
        <f t="shared" si="23"/>
        <v>150000</v>
      </c>
      <c r="Q118" s="20">
        <v>-150000</v>
      </c>
      <c r="R118" s="20"/>
      <c r="S118" s="20"/>
      <c r="T118" s="20"/>
      <c r="U118" s="20"/>
      <c r="V118" s="20">
        <f t="shared" si="24"/>
        <v>0</v>
      </c>
      <c r="W118" s="20"/>
      <c r="X118" s="20"/>
      <c r="Y118" s="20"/>
      <c r="Z118" s="20"/>
      <c r="AA118" s="20"/>
      <c r="AB118" s="20"/>
      <c r="AC118" s="20"/>
      <c r="AD118" s="20">
        <f t="shared" si="43"/>
        <v>0</v>
      </c>
      <c r="AE118" s="108">
        <v>0</v>
      </c>
      <c r="AF118" s="3">
        <f t="shared" si="16"/>
        <v>0</v>
      </c>
    </row>
    <row r="119" spans="1:32" x14ac:dyDescent="0.3">
      <c r="A119" s="254"/>
      <c r="B119" s="261"/>
      <c r="C119" s="2" t="s">
        <v>40</v>
      </c>
      <c r="D119" s="3">
        <v>138700</v>
      </c>
      <c r="E119" s="3"/>
      <c r="F119" s="3"/>
      <c r="G119" s="3"/>
      <c r="H119" s="3"/>
      <c r="I119" s="20"/>
      <c r="J119" s="20">
        <f t="shared" si="44"/>
        <v>138700</v>
      </c>
      <c r="K119" s="20"/>
      <c r="L119" s="20"/>
      <c r="M119" s="20"/>
      <c r="N119" s="20"/>
      <c r="O119" s="20"/>
      <c r="P119" s="20">
        <f t="shared" si="23"/>
        <v>138700</v>
      </c>
      <c r="Q119" s="20">
        <v>-120000</v>
      </c>
      <c r="R119" s="20"/>
      <c r="S119" s="20"/>
      <c r="T119" s="20"/>
      <c r="U119" s="20"/>
      <c r="V119" s="20">
        <f t="shared" si="24"/>
        <v>18700</v>
      </c>
      <c r="W119" s="20"/>
      <c r="X119" s="20"/>
      <c r="Y119" s="20"/>
      <c r="Z119" s="20"/>
      <c r="AA119" s="20"/>
      <c r="AB119" s="20"/>
      <c r="AC119" s="20"/>
      <c r="AD119" s="20">
        <f t="shared" si="43"/>
        <v>18700</v>
      </c>
      <c r="AE119" s="108">
        <v>18700</v>
      </c>
      <c r="AF119" s="3">
        <f t="shared" si="16"/>
        <v>0</v>
      </c>
    </row>
    <row r="120" spans="1:32" x14ac:dyDescent="0.3">
      <c r="A120" s="254"/>
      <c r="B120" s="261"/>
      <c r="C120" s="2" t="s">
        <v>41</v>
      </c>
      <c r="D120" s="3">
        <v>248538</v>
      </c>
      <c r="E120" s="3"/>
      <c r="F120" s="3"/>
      <c r="G120" s="3"/>
      <c r="H120" s="3"/>
      <c r="I120" s="20"/>
      <c r="J120" s="20">
        <f t="shared" si="44"/>
        <v>248538</v>
      </c>
      <c r="K120" s="20">
        <v>-2500</v>
      </c>
      <c r="L120" s="20"/>
      <c r="M120" s="20"/>
      <c r="N120" s="20"/>
      <c r="O120" s="20"/>
      <c r="P120" s="20">
        <f t="shared" si="23"/>
        <v>246038</v>
      </c>
      <c r="Q120" s="20">
        <v>-107786</v>
      </c>
      <c r="R120" s="20"/>
      <c r="S120" s="20"/>
      <c r="T120" s="20"/>
      <c r="U120" s="20"/>
      <c r="V120" s="20">
        <f t="shared" si="24"/>
        <v>138252</v>
      </c>
      <c r="W120" s="20">
        <v>4946</v>
      </c>
      <c r="X120" s="20"/>
      <c r="Y120" s="20"/>
      <c r="Z120" s="20"/>
      <c r="AA120" s="20"/>
      <c r="AB120" s="20"/>
      <c r="AC120" s="20"/>
      <c r="AD120" s="20">
        <f t="shared" si="43"/>
        <v>143198</v>
      </c>
      <c r="AE120" s="108">
        <v>141825</v>
      </c>
      <c r="AF120" s="3">
        <f t="shared" si="16"/>
        <v>1373</v>
      </c>
    </row>
    <row r="121" spans="1:32" x14ac:dyDescent="0.3">
      <c r="A121" s="254"/>
      <c r="B121" s="261"/>
      <c r="C121" s="2" t="s">
        <v>42</v>
      </c>
      <c r="D121" s="3">
        <v>360000</v>
      </c>
      <c r="E121" s="3"/>
      <c r="F121" s="3"/>
      <c r="G121" s="3"/>
      <c r="H121" s="3"/>
      <c r="I121" s="20"/>
      <c r="J121" s="20">
        <f t="shared" si="44"/>
        <v>360000</v>
      </c>
      <c r="K121" s="20"/>
      <c r="L121" s="20"/>
      <c r="M121" s="20"/>
      <c r="N121" s="20"/>
      <c r="O121" s="20"/>
      <c r="P121" s="20">
        <f t="shared" si="23"/>
        <v>360000</v>
      </c>
      <c r="Q121" s="20">
        <v>-100054</v>
      </c>
      <c r="R121" s="20"/>
      <c r="S121" s="20"/>
      <c r="T121" s="20"/>
      <c r="U121" s="20"/>
      <c r="V121" s="20">
        <f t="shared" si="24"/>
        <v>259946</v>
      </c>
      <c r="W121" s="20">
        <f>-4946-100772</f>
        <v>-105718</v>
      </c>
      <c r="X121" s="20"/>
      <c r="Y121" s="20"/>
      <c r="Z121" s="20"/>
      <c r="AA121" s="20"/>
      <c r="AB121" s="20"/>
      <c r="AC121" s="20"/>
      <c r="AD121" s="20">
        <f t="shared" si="43"/>
        <v>154228</v>
      </c>
      <c r="AE121" s="108">
        <v>154228</v>
      </c>
      <c r="AF121" s="3">
        <f t="shared" si="16"/>
        <v>0</v>
      </c>
    </row>
    <row r="122" spans="1:32" x14ac:dyDescent="0.3">
      <c r="A122" s="254"/>
      <c r="B122" s="261"/>
      <c r="C122" s="2" t="s">
        <v>44</v>
      </c>
      <c r="D122" s="3">
        <v>222148</v>
      </c>
      <c r="E122" s="3"/>
      <c r="F122" s="3"/>
      <c r="G122" s="3"/>
      <c r="H122" s="3"/>
      <c r="I122" s="20"/>
      <c r="J122" s="20">
        <f t="shared" si="44"/>
        <v>222148</v>
      </c>
      <c r="K122" s="20"/>
      <c r="L122" s="20"/>
      <c r="M122" s="20"/>
      <c r="N122" s="20"/>
      <c r="O122" s="20"/>
      <c r="P122" s="20">
        <f t="shared" si="23"/>
        <v>222148</v>
      </c>
      <c r="Q122" s="20">
        <v>49599</v>
      </c>
      <c r="R122" s="20"/>
      <c r="S122" s="20"/>
      <c r="T122" s="20"/>
      <c r="U122" s="20"/>
      <c r="V122" s="20">
        <f t="shared" si="24"/>
        <v>271747</v>
      </c>
      <c r="W122" s="20">
        <f>-11200+27574</f>
        <v>16374</v>
      </c>
      <c r="X122" s="20"/>
      <c r="Y122" s="20"/>
      <c r="Z122" s="20"/>
      <c r="AA122" s="20"/>
      <c r="AB122" s="20"/>
      <c r="AC122" s="20"/>
      <c r="AD122" s="20">
        <f t="shared" si="43"/>
        <v>288121</v>
      </c>
      <c r="AE122" s="108">
        <v>275953</v>
      </c>
      <c r="AF122" s="3">
        <f t="shared" si="16"/>
        <v>12168</v>
      </c>
    </row>
    <row r="123" spans="1:32" x14ac:dyDescent="0.3">
      <c r="A123" s="254"/>
      <c r="B123" s="261"/>
      <c r="C123" s="2" t="s">
        <v>45</v>
      </c>
      <c r="D123" s="3">
        <v>348200</v>
      </c>
      <c r="E123" s="3"/>
      <c r="F123" s="3"/>
      <c r="G123" s="3"/>
      <c r="H123" s="3"/>
      <c r="I123" s="20"/>
      <c r="J123" s="20">
        <f t="shared" si="44"/>
        <v>348200</v>
      </c>
      <c r="K123" s="20"/>
      <c r="L123" s="20"/>
      <c r="M123" s="20"/>
      <c r="N123" s="20"/>
      <c r="O123" s="20"/>
      <c r="P123" s="20">
        <f t="shared" si="23"/>
        <v>348200</v>
      </c>
      <c r="Q123" s="20"/>
      <c r="R123" s="20"/>
      <c r="S123" s="20"/>
      <c r="T123" s="20"/>
      <c r="U123" s="20"/>
      <c r="V123" s="20">
        <f t="shared" si="24"/>
        <v>348200</v>
      </c>
      <c r="W123" s="20"/>
      <c r="X123" s="20"/>
      <c r="Y123" s="20"/>
      <c r="Z123" s="20"/>
      <c r="AA123" s="20"/>
      <c r="AB123" s="20"/>
      <c r="AC123" s="20"/>
      <c r="AD123" s="20">
        <f t="shared" si="43"/>
        <v>348200</v>
      </c>
      <c r="AE123" s="108">
        <v>347581</v>
      </c>
      <c r="AF123" s="3">
        <f t="shared" si="16"/>
        <v>619</v>
      </c>
    </row>
    <row r="124" spans="1:32" x14ac:dyDescent="0.3">
      <c r="A124" s="254"/>
      <c r="B124" s="261"/>
      <c r="C124" s="6" t="s">
        <v>49</v>
      </c>
      <c r="D124" s="7">
        <f t="shared" ref="D124:N124" si="45">SUM(D112:D123)</f>
        <v>2064898</v>
      </c>
      <c r="E124" s="7">
        <f t="shared" si="45"/>
        <v>0</v>
      </c>
      <c r="F124" s="7">
        <f t="shared" si="45"/>
        <v>0</v>
      </c>
      <c r="G124" s="7">
        <f t="shared" si="45"/>
        <v>0</v>
      </c>
      <c r="H124" s="7">
        <f t="shared" si="45"/>
        <v>0</v>
      </c>
      <c r="I124" s="7">
        <f t="shared" si="45"/>
        <v>0</v>
      </c>
      <c r="J124" s="7">
        <f t="shared" si="45"/>
        <v>2064898</v>
      </c>
      <c r="K124" s="7">
        <f t="shared" si="45"/>
        <v>0</v>
      </c>
      <c r="L124" s="7">
        <f t="shared" si="45"/>
        <v>0</v>
      </c>
      <c r="M124" s="7">
        <f t="shared" si="45"/>
        <v>0</v>
      </c>
      <c r="N124" s="7">
        <f t="shared" si="45"/>
        <v>0</v>
      </c>
      <c r="O124" s="7"/>
      <c r="P124" s="7">
        <f t="shared" si="23"/>
        <v>2064898</v>
      </c>
      <c r="Q124" s="7">
        <f>SUM(Q112:Q123)</f>
        <v>0</v>
      </c>
      <c r="R124" s="7">
        <f>SUM(R112:R123)</f>
        <v>0</v>
      </c>
      <c r="S124" s="7">
        <f>SUM(S112:S123)</f>
        <v>0</v>
      </c>
      <c r="T124" s="7">
        <f>SUM(T112:T123)</f>
        <v>0</v>
      </c>
      <c r="U124" s="7">
        <f>SUM(U112:U123)</f>
        <v>0</v>
      </c>
      <c r="V124" s="7">
        <f t="shared" si="24"/>
        <v>2064898</v>
      </c>
      <c r="W124" s="7">
        <f t="shared" ref="W124:AC124" si="46">SUM(W112:W123)</f>
        <v>-74384</v>
      </c>
      <c r="X124" s="7">
        <f t="shared" si="46"/>
        <v>0</v>
      </c>
      <c r="Y124" s="7">
        <f t="shared" si="46"/>
        <v>0</v>
      </c>
      <c r="Z124" s="7">
        <f t="shared" si="46"/>
        <v>0</v>
      </c>
      <c r="AA124" s="7">
        <f t="shared" si="46"/>
        <v>0</v>
      </c>
      <c r="AB124" s="7">
        <f t="shared" si="46"/>
        <v>0</v>
      </c>
      <c r="AC124" s="7">
        <f t="shared" si="46"/>
        <v>0</v>
      </c>
      <c r="AD124" s="7">
        <f t="shared" si="43"/>
        <v>1990514</v>
      </c>
      <c r="AE124" s="7">
        <f>SUM(AE112:AE123)</f>
        <v>1961993</v>
      </c>
      <c r="AF124" s="7">
        <f t="shared" si="16"/>
        <v>28521</v>
      </c>
    </row>
    <row r="125" spans="1:32" x14ac:dyDescent="0.3">
      <c r="A125" s="262" t="s">
        <v>62</v>
      </c>
      <c r="B125" s="264" t="s">
        <v>23</v>
      </c>
      <c r="C125" s="15" t="s">
        <v>29</v>
      </c>
      <c r="D125" s="24">
        <v>0</v>
      </c>
      <c r="E125" s="11"/>
      <c r="F125" s="187"/>
      <c r="G125" s="187"/>
      <c r="H125" s="11"/>
      <c r="I125" s="192"/>
      <c r="J125" s="20">
        <f t="shared" ref="J125:J135" si="47">SUM(D125:I125)</f>
        <v>0</v>
      </c>
      <c r="K125" s="20"/>
      <c r="L125" s="20"/>
      <c r="M125" s="20"/>
      <c r="N125" s="20"/>
      <c r="O125" s="20"/>
      <c r="P125" s="20">
        <f t="shared" si="23"/>
        <v>0</v>
      </c>
      <c r="Q125" s="20"/>
      <c r="R125" s="20"/>
      <c r="S125" s="20"/>
      <c r="T125" s="20"/>
      <c r="U125" s="20"/>
      <c r="V125" s="20">
        <f t="shared" si="24"/>
        <v>0</v>
      </c>
      <c r="W125" s="20"/>
      <c r="X125" s="20"/>
      <c r="Y125" s="20"/>
      <c r="Z125" s="20"/>
      <c r="AA125" s="20"/>
      <c r="AB125" s="20"/>
      <c r="AC125" s="20"/>
      <c r="AD125" s="20">
        <f t="shared" si="43"/>
        <v>0</v>
      </c>
      <c r="AE125" s="108">
        <v>0</v>
      </c>
      <c r="AF125" s="3">
        <f t="shared" si="16"/>
        <v>0</v>
      </c>
    </row>
    <row r="126" spans="1:32" x14ac:dyDescent="0.3">
      <c r="A126" s="263"/>
      <c r="B126" s="265"/>
      <c r="C126" s="15" t="s">
        <v>31</v>
      </c>
      <c r="D126" s="24">
        <v>0</v>
      </c>
      <c r="E126" s="11"/>
      <c r="F126" s="187"/>
      <c r="G126" s="187"/>
      <c r="H126" s="11"/>
      <c r="I126" s="192"/>
      <c r="J126" s="20">
        <f t="shared" si="47"/>
        <v>0</v>
      </c>
      <c r="K126" s="20"/>
      <c r="L126" s="20"/>
      <c r="M126" s="20"/>
      <c r="N126" s="20"/>
      <c r="O126" s="20"/>
      <c r="P126" s="20">
        <f t="shared" si="23"/>
        <v>0</v>
      </c>
      <c r="Q126" s="20"/>
      <c r="R126" s="20"/>
      <c r="S126" s="20"/>
      <c r="T126" s="20"/>
      <c r="U126" s="20"/>
      <c r="V126" s="20">
        <f t="shared" si="24"/>
        <v>0</v>
      </c>
      <c r="W126" s="20"/>
      <c r="X126" s="20"/>
      <c r="Y126" s="20"/>
      <c r="Z126" s="20"/>
      <c r="AA126" s="20"/>
      <c r="AB126" s="20"/>
      <c r="AC126" s="20"/>
      <c r="AD126" s="20">
        <f t="shared" si="43"/>
        <v>0</v>
      </c>
      <c r="AE126" s="108">
        <v>0</v>
      </c>
      <c r="AF126" s="3">
        <f t="shared" si="16"/>
        <v>0</v>
      </c>
    </row>
    <row r="127" spans="1:32" x14ac:dyDescent="0.3">
      <c r="A127" s="262" t="s">
        <v>63</v>
      </c>
      <c r="B127" s="264" t="s">
        <v>23</v>
      </c>
      <c r="C127" s="15" t="s">
        <v>24</v>
      </c>
      <c r="D127" s="24">
        <v>2401000</v>
      </c>
      <c r="E127" s="11"/>
      <c r="F127" s="187"/>
      <c r="G127" s="187"/>
      <c r="H127" s="11"/>
      <c r="I127" s="192"/>
      <c r="J127" s="20">
        <f t="shared" si="47"/>
        <v>2401000</v>
      </c>
      <c r="K127" s="20"/>
      <c r="L127" s="20"/>
      <c r="M127" s="20"/>
      <c r="N127" s="20"/>
      <c r="O127" s="20"/>
      <c r="P127" s="20">
        <f t="shared" si="23"/>
        <v>2401000</v>
      </c>
      <c r="Q127" s="20"/>
      <c r="R127" s="20">
        <v>-17382</v>
      </c>
      <c r="S127" s="20"/>
      <c r="T127" s="20"/>
      <c r="U127" s="20"/>
      <c r="V127" s="20">
        <f t="shared" si="24"/>
        <v>2383618</v>
      </c>
      <c r="W127" s="20"/>
      <c r="X127" s="20"/>
      <c r="Y127" s="20"/>
      <c r="Z127" s="20"/>
      <c r="AA127" s="20"/>
      <c r="AB127" s="20"/>
      <c r="AC127" s="20"/>
      <c r="AD127" s="20">
        <f t="shared" si="43"/>
        <v>2383618</v>
      </c>
      <c r="AE127" s="108">
        <v>2383618</v>
      </c>
      <c r="AF127" s="3">
        <f t="shared" si="16"/>
        <v>0</v>
      </c>
    </row>
    <row r="128" spans="1:32" x14ac:dyDescent="0.3">
      <c r="A128" s="263"/>
      <c r="B128" s="265"/>
      <c r="C128" s="15" t="s">
        <v>31</v>
      </c>
      <c r="D128" s="24">
        <v>312130</v>
      </c>
      <c r="E128" s="11"/>
      <c r="F128" s="187"/>
      <c r="G128" s="187"/>
      <c r="H128" s="11"/>
      <c r="I128" s="192"/>
      <c r="J128" s="20">
        <f t="shared" si="47"/>
        <v>312130</v>
      </c>
      <c r="K128" s="20"/>
      <c r="L128" s="20"/>
      <c r="M128" s="20"/>
      <c r="N128" s="20"/>
      <c r="O128" s="20"/>
      <c r="P128" s="20">
        <f t="shared" si="23"/>
        <v>312130</v>
      </c>
      <c r="Q128" s="20"/>
      <c r="R128" s="20">
        <v>-2259</v>
      </c>
      <c r="S128" s="20"/>
      <c r="T128" s="20"/>
      <c r="U128" s="20"/>
      <c r="V128" s="20">
        <f t="shared" si="24"/>
        <v>309871</v>
      </c>
      <c r="W128" s="20"/>
      <c r="X128" s="20"/>
      <c r="Y128" s="20"/>
      <c r="Z128" s="20">
        <v>1</v>
      </c>
      <c r="AA128" s="20"/>
      <c r="AB128" s="20"/>
      <c r="AC128" s="20"/>
      <c r="AD128" s="20">
        <f t="shared" si="43"/>
        <v>309872</v>
      </c>
      <c r="AE128" s="108">
        <v>309872</v>
      </c>
      <c r="AF128" s="3">
        <f t="shared" si="16"/>
        <v>0</v>
      </c>
    </row>
    <row r="129" spans="1:32" x14ac:dyDescent="0.3">
      <c r="A129" s="319" t="s">
        <v>77</v>
      </c>
      <c r="B129" s="320"/>
      <c r="C129" s="321"/>
      <c r="D129" s="80">
        <f t="shared" ref="D129:N129" si="48">SUM(D110+D111+D124+D125+D126+D127+D128)</f>
        <v>13745623</v>
      </c>
      <c r="E129" s="80">
        <f t="shared" si="48"/>
        <v>0</v>
      </c>
      <c r="F129" s="80">
        <f t="shared" si="48"/>
        <v>0</v>
      </c>
      <c r="G129" s="80">
        <f t="shared" si="48"/>
        <v>0</v>
      </c>
      <c r="H129" s="80">
        <f t="shared" si="48"/>
        <v>0</v>
      </c>
      <c r="I129" s="80">
        <f t="shared" si="48"/>
        <v>0</v>
      </c>
      <c r="J129" s="80">
        <f t="shared" si="48"/>
        <v>13745623</v>
      </c>
      <c r="K129" s="80">
        <f t="shared" si="48"/>
        <v>0</v>
      </c>
      <c r="L129" s="80">
        <f t="shared" si="48"/>
        <v>0</v>
      </c>
      <c r="M129" s="80">
        <f t="shared" si="48"/>
        <v>0</v>
      </c>
      <c r="N129" s="80">
        <f t="shared" si="48"/>
        <v>0</v>
      </c>
      <c r="O129" s="80"/>
      <c r="P129" s="80">
        <f t="shared" si="23"/>
        <v>13745623</v>
      </c>
      <c r="Q129" s="80">
        <f>SUM(Q110+Q111+Q124+Q125+Q126+Q127+Q128)</f>
        <v>0</v>
      </c>
      <c r="R129" s="80">
        <f>SUM(R110+R111+R124+R125+R126+R127+R128)</f>
        <v>-19641</v>
      </c>
      <c r="S129" s="80">
        <f>SUM(S110+S111+S124+S125+S126+S127+S128)</f>
        <v>0</v>
      </c>
      <c r="T129" s="80">
        <f>SUM(T110+T111+T124+T125+T126+T127+T128)</f>
        <v>0</v>
      </c>
      <c r="U129" s="80">
        <f>SUM(U110+U111+U124+U125+U126+U127+U128)</f>
        <v>0</v>
      </c>
      <c r="V129" s="80">
        <f t="shared" si="24"/>
        <v>13725982</v>
      </c>
      <c r="W129" s="80">
        <f t="shared" ref="W129:AC129" si="49">SUM(W110+W111+W124+W125+W126+W127+W128)</f>
        <v>0</v>
      </c>
      <c r="X129" s="80">
        <f t="shared" si="49"/>
        <v>0</v>
      </c>
      <c r="Y129" s="80">
        <f t="shared" si="49"/>
        <v>0</v>
      </c>
      <c r="Z129" s="80">
        <f t="shared" si="49"/>
        <v>1</v>
      </c>
      <c r="AA129" s="80">
        <f t="shared" si="49"/>
        <v>0</v>
      </c>
      <c r="AB129" s="80">
        <f t="shared" si="49"/>
        <v>0</v>
      </c>
      <c r="AC129" s="80">
        <f t="shared" si="49"/>
        <v>0</v>
      </c>
      <c r="AD129" s="80">
        <f t="shared" si="43"/>
        <v>13725983</v>
      </c>
      <c r="AE129" s="112">
        <f>SUM(AE110+AE111+AE124+AE125+AE126+AE127+AE128)</f>
        <v>13697462</v>
      </c>
      <c r="AF129" s="112">
        <f t="shared" si="16"/>
        <v>28521</v>
      </c>
    </row>
    <row r="130" spans="1:32" x14ac:dyDescent="0.3">
      <c r="A130" s="254" t="s">
        <v>13</v>
      </c>
      <c r="B130" s="261" t="s">
        <v>23</v>
      </c>
      <c r="C130" s="2" t="s">
        <v>24</v>
      </c>
      <c r="D130" s="3">
        <v>7233190</v>
      </c>
      <c r="E130" s="3"/>
      <c r="F130" s="3"/>
      <c r="G130" s="3"/>
      <c r="H130" s="3"/>
      <c r="I130" s="20"/>
      <c r="J130" s="20">
        <f t="shared" si="47"/>
        <v>7233190</v>
      </c>
      <c r="K130" s="20"/>
      <c r="L130" s="20">
        <v>65164</v>
      </c>
      <c r="M130" s="20"/>
      <c r="N130" s="20"/>
      <c r="O130" s="20"/>
      <c r="P130" s="20">
        <f t="shared" si="23"/>
        <v>7298354</v>
      </c>
      <c r="Q130" s="20">
        <v>-80000</v>
      </c>
      <c r="R130" s="20"/>
      <c r="S130" s="20">
        <v>44800</v>
      </c>
      <c r="T130" s="20"/>
      <c r="U130" s="20"/>
      <c r="V130" s="20">
        <f t="shared" si="24"/>
        <v>7263154</v>
      </c>
      <c r="W130" s="20"/>
      <c r="X130" s="20"/>
      <c r="Y130" s="20">
        <v>22400</v>
      </c>
      <c r="Z130" s="20"/>
      <c r="AA130" s="20"/>
      <c r="AB130" s="20"/>
      <c r="AC130" s="20"/>
      <c r="AD130" s="20">
        <f t="shared" si="43"/>
        <v>7285554</v>
      </c>
      <c r="AE130" s="108">
        <v>7174802</v>
      </c>
      <c r="AF130" s="3">
        <f t="shared" si="16"/>
        <v>110752</v>
      </c>
    </row>
    <row r="131" spans="1:32" x14ac:dyDescent="0.3">
      <c r="A131" s="254"/>
      <c r="B131" s="261"/>
      <c r="C131" s="2" t="s">
        <v>25</v>
      </c>
      <c r="D131" s="3">
        <v>200000</v>
      </c>
      <c r="E131" s="3"/>
      <c r="F131" s="3"/>
      <c r="G131" s="3"/>
      <c r="H131" s="3"/>
      <c r="I131" s="20"/>
      <c r="J131" s="20">
        <f t="shared" si="47"/>
        <v>200000</v>
      </c>
      <c r="K131" s="20"/>
      <c r="L131" s="20"/>
      <c r="M131" s="20"/>
      <c r="N131" s="20"/>
      <c r="O131" s="20"/>
      <c r="P131" s="20">
        <f t="shared" si="23"/>
        <v>200000</v>
      </c>
      <c r="Q131" s="20">
        <v>80000</v>
      </c>
      <c r="R131" s="20"/>
      <c r="S131" s="20"/>
      <c r="T131" s="20"/>
      <c r="U131" s="20"/>
      <c r="V131" s="20">
        <f t="shared" si="24"/>
        <v>280000</v>
      </c>
      <c r="W131" s="20"/>
      <c r="X131" s="20"/>
      <c r="Y131" s="20"/>
      <c r="Z131" s="20"/>
      <c r="AA131" s="20"/>
      <c r="AB131" s="20"/>
      <c r="AC131" s="20"/>
      <c r="AD131" s="20">
        <f t="shared" si="43"/>
        <v>280000</v>
      </c>
      <c r="AE131" s="108">
        <v>280000</v>
      </c>
      <c r="AF131" s="3">
        <f t="shared" si="16"/>
        <v>0</v>
      </c>
    </row>
    <row r="132" spans="1:32" x14ac:dyDescent="0.3">
      <c r="A132" s="254"/>
      <c r="B132" s="261"/>
      <c r="C132" s="2" t="s">
        <v>26</v>
      </c>
      <c r="D132" s="3">
        <v>13350</v>
      </c>
      <c r="E132" s="3"/>
      <c r="F132" s="3"/>
      <c r="G132" s="3"/>
      <c r="H132" s="3"/>
      <c r="I132" s="20"/>
      <c r="J132" s="20">
        <f t="shared" si="47"/>
        <v>13350</v>
      </c>
      <c r="K132" s="20"/>
      <c r="L132" s="20"/>
      <c r="M132" s="20"/>
      <c r="N132" s="20"/>
      <c r="O132" s="20"/>
      <c r="P132" s="20">
        <f t="shared" si="23"/>
        <v>13350</v>
      </c>
      <c r="Q132" s="20"/>
      <c r="R132" s="20"/>
      <c r="S132" s="20"/>
      <c r="T132" s="20"/>
      <c r="U132" s="20"/>
      <c r="V132" s="20">
        <f t="shared" si="24"/>
        <v>13350</v>
      </c>
      <c r="W132" s="20"/>
      <c r="X132" s="20"/>
      <c r="Y132" s="20"/>
      <c r="Z132" s="20"/>
      <c r="AA132" s="20"/>
      <c r="AB132" s="20"/>
      <c r="AC132" s="20"/>
      <c r="AD132" s="20">
        <f t="shared" si="43"/>
        <v>13350</v>
      </c>
      <c r="AE132" s="108">
        <v>13350</v>
      </c>
      <c r="AF132" s="3">
        <f t="shared" si="16"/>
        <v>0</v>
      </c>
    </row>
    <row r="133" spans="1:32" x14ac:dyDescent="0.3">
      <c r="A133" s="254"/>
      <c r="B133" s="261"/>
      <c r="C133" s="2" t="s">
        <v>28</v>
      </c>
      <c r="D133" s="3">
        <v>24000</v>
      </c>
      <c r="E133" s="3"/>
      <c r="F133" s="3"/>
      <c r="G133" s="3"/>
      <c r="H133" s="3"/>
      <c r="I133" s="20"/>
      <c r="J133" s="20">
        <f t="shared" si="47"/>
        <v>24000</v>
      </c>
      <c r="K133" s="20"/>
      <c r="L133" s="20"/>
      <c r="M133" s="20"/>
      <c r="N133" s="20"/>
      <c r="O133" s="20"/>
      <c r="P133" s="20">
        <f t="shared" si="23"/>
        <v>24000</v>
      </c>
      <c r="Q133" s="20">
        <v>-24000</v>
      </c>
      <c r="R133" s="20"/>
      <c r="S133" s="20"/>
      <c r="T133" s="20"/>
      <c r="U133" s="20"/>
      <c r="V133" s="20">
        <f t="shared" si="24"/>
        <v>0</v>
      </c>
      <c r="W133" s="20"/>
      <c r="X133" s="20"/>
      <c r="Y133" s="20"/>
      <c r="Z133" s="20"/>
      <c r="AA133" s="20"/>
      <c r="AB133" s="20"/>
      <c r="AC133" s="20"/>
      <c r="AD133" s="20">
        <f t="shared" si="43"/>
        <v>0</v>
      </c>
      <c r="AE133" s="108">
        <v>0</v>
      </c>
      <c r="AF133" s="3">
        <f t="shared" si="16"/>
        <v>0</v>
      </c>
    </row>
    <row r="134" spans="1:32" x14ac:dyDescent="0.3">
      <c r="A134" s="254"/>
      <c r="B134" s="261"/>
      <c r="C134" s="2" t="s">
        <v>29</v>
      </c>
      <c r="D134" s="3">
        <v>0</v>
      </c>
      <c r="E134" s="3"/>
      <c r="F134" s="3"/>
      <c r="G134" s="3"/>
      <c r="H134" s="3"/>
      <c r="I134" s="20"/>
      <c r="J134" s="20">
        <f t="shared" si="47"/>
        <v>0</v>
      </c>
      <c r="K134" s="20"/>
      <c r="L134" s="20"/>
      <c r="M134" s="20"/>
      <c r="N134" s="20"/>
      <c r="O134" s="20"/>
      <c r="P134" s="20">
        <f t="shared" si="23"/>
        <v>0</v>
      </c>
      <c r="Q134" s="20">
        <v>24000</v>
      </c>
      <c r="R134" s="20"/>
      <c r="S134" s="20"/>
      <c r="T134" s="20"/>
      <c r="U134" s="20"/>
      <c r="V134" s="20">
        <f t="shared" si="24"/>
        <v>24000</v>
      </c>
      <c r="W134" s="20"/>
      <c r="X134" s="20"/>
      <c r="Y134" s="20"/>
      <c r="Z134" s="20"/>
      <c r="AA134" s="20"/>
      <c r="AB134" s="20"/>
      <c r="AC134" s="20"/>
      <c r="AD134" s="20">
        <f t="shared" si="43"/>
        <v>24000</v>
      </c>
      <c r="AE134" s="108">
        <v>24000</v>
      </c>
      <c r="AF134" s="3">
        <f t="shared" ref="AF134:AF197" si="50">AD134-AE134</f>
        <v>0</v>
      </c>
    </row>
    <row r="135" spans="1:32" x14ac:dyDescent="0.3">
      <c r="A135" s="254"/>
      <c r="B135" s="261"/>
      <c r="C135" s="2" t="s">
        <v>30</v>
      </c>
      <c r="D135" s="3">
        <v>0</v>
      </c>
      <c r="E135" s="3"/>
      <c r="F135" s="3"/>
      <c r="G135" s="3"/>
      <c r="H135" s="3"/>
      <c r="I135" s="20"/>
      <c r="J135" s="20">
        <f t="shared" si="47"/>
        <v>0</v>
      </c>
      <c r="K135" s="20"/>
      <c r="L135" s="20"/>
      <c r="M135" s="20"/>
      <c r="N135" s="20"/>
      <c r="O135" s="20"/>
      <c r="P135" s="20">
        <f t="shared" si="23"/>
        <v>0</v>
      </c>
      <c r="Q135" s="20"/>
      <c r="R135" s="20"/>
      <c r="S135" s="20"/>
      <c r="T135" s="20"/>
      <c r="U135" s="20"/>
      <c r="V135" s="20">
        <f t="shared" si="24"/>
        <v>0</v>
      </c>
      <c r="W135" s="20"/>
      <c r="X135" s="20"/>
      <c r="Y135" s="20"/>
      <c r="Z135" s="20"/>
      <c r="AA135" s="20"/>
      <c r="AB135" s="20"/>
      <c r="AC135" s="20"/>
      <c r="AD135" s="20">
        <f t="shared" si="43"/>
        <v>0</v>
      </c>
      <c r="AE135" s="108">
        <v>0</v>
      </c>
      <c r="AF135" s="3">
        <f t="shared" si="50"/>
        <v>0</v>
      </c>
    </row>
    <row r="136" spans="1:32" x14ac:dyDescent="0.3">
      <c r="A136" s="254"/>
      <c r="B136" s="261"/>
      <c r="C136" s="6" t="s">
        <v>53</v>
      </c>
      <c r="D136" s="7">
        <f>SUM(D130:D135)</f>
        <v>7470540</v>
      </c>
      <c r="E136" s="7">
        <f t="shared" ref="E136:AE136" si="51">SUM(E130:E135)</f>
        <v>0</v>
      </c>
      <c r="F136" s="7">
        <f t="shared" si="51"/>
        <v>0</v>
      </c>
      <c r="G136" s="7">
        <f t="shared" si="51"/>
        <v>0</v>
      </c>
      <c r="H136" s="7">
        <f t="shared" si="51"/>
        <v>0</v>
      </c>
      <c r="I136" s="7">
        <f t="shared" si="51"/>
        <v>0</v>
      </c>
      <c r="J136" s="7">
        <f t="shared" si="51"/>
        <v>7470540</v>
      </c>
      <c r="K136" s="7">
        <f t="shared" si="51"/>
        <v>0</v>
      </c>
      <c r="L136" s="7">
        <f t="shared" si="51"/>
        <v>65164</v>
      </c>
      <c r="M136" s="7">
        <f t="shared" si="51"/>
        <v>0</v>
      </c>
      <c r="N136" s="7">
        <f t="shared" si="51"/>
        <v>0</v>
      </c>
      <c r="O136" s="7"/>
      <c r="P136" s="7">
        <f t="shared" si="23"/>
        <v>7535704</v>
      </c>
      <c r="Q136" s="7">
        <f>SUM(Q130:Q135)</f>
        <v>0</v>
      </c>
      <c r="R136" s="7">
        <f t="shared" ref="R136:T136" si="52">SUM(R130:R135)</f>
        <v>0</v>
      </c>
      <c r="S136" s="7">
        <f t="shared" si="52"/>
        <v>44800</v>
      </c>
      <c r="T136" s="7">
        <f t="shared" si="52"/>
        <v>0</v>
      </c>
      <c r="U136" s="7">
        <f>SUM(U130:U135)</f>
        <v>0</v>
      </c>
      <c r="V136" s="7">
        <f t="shared" si="24"/>
        <v>7580504</v>
      </c>
      <c r="W136" s="7">
        <f>SUM(W130:W135)</f>
        <v>0</v>
      </c>
      <c r="X136" s="7">
        <f t="shared" ref="X136:AB136" si="53">SUM(X130:X135)</f>
        <v>0</v>
      </c>
      <c r="Y136" s="7">
        <f t="shared" ref="Y136" si="54">SUM(Y130:Y135)</f>
        <v>22400</v>
      </c>
      <c r="Z136" s="7">
        <f t="shared" ref="Z136" si="55">SUM(Z130:Z135)</f>
        <v>0</v>
      </c>
      <c r="AA136" s="7">
        <f t="shared" si="53"/>
        <v>0</v>
      </c>
      <c r="AB136" s="7">
        <f t="shared" si="53"/>
        <v>0</v>
      </c>
      <c r="AC136" s="7">
        <f>SUM(AC130:AC135)</f>
        <v>0</v>
      </c>
      <c r="AD136" s="7">
        <f t="shared" si="43"/>
        <v>7602904</v>
      </c>
      <c r="AE136" s="110">
        <f t="shared" si="51"/>
        <v>7492152</v>
      </c>
      <c r="AF136" s="110">
        <f t="shared" si="50"/>
        <v>110752</v>
      </c>
    </row>
    <row r="137" spans="1:32" x14ac:dyDescent="0.3">
      <c r="A137" s="254"/>
      <c r="B137" s="261"/>
      <c r="C137" s="82" t="s">
        <v>31</v>
      </c>
      <c r="D137" s="83">
        <v>1227872</v>
      </c>
      <c r="E137" s="83"/>
      <c r="F137" s="83"/>
      <c r="G137" s="83"/>
      <c r="H137" s="83"/>
      <c r="I137" s="191"/>
      <c r="J137" s="84">
        <f t="shared" ref="J137" si="56">SUM(D137:I137)</f>
        <v>1227872</v>
      </c>
      <c r="K137" s="84"/>
      <c r="L137" s="84">
        <v>8471</v>
      </c>
      <c r="M137" s="84"/>
      <c r="N137" s="84"/>
      <c r="O137" s="84"/>
      <c r="P137" s="84">
        <f t="shared" si="23"/>
        <v>1236343</v>
      </c>
      <c r="Q137" s="84"/>
      <c r="R137" s="84"/>
      <c r="S137" s="84">
        <v>5824</v>
      </c>
      <c r="T137" s="84"/>
      <c r="U137" s="84"/>
      <c r="V137" s="84">
        <f t="shared" si="24"/>
        <v>1242167</v>
      </c>
      <c r="W137" s="84"/>
      <c r="X137" s="84"/>
      <c r="Y137" s="84">
        <v>2912</v>
      </c>
      <c r="Z137" s="84"/>
      <c r="AA137" s="84"/>
      <c r="AB137" s="84"/>
      <c r="AC137" s="84"/>
      <c r="AD137" s="84">
        <f t="shared" si="43"/>
        <v>1245079</v>
      </c>
      <c r="AE137" s="111">
        <v>1082885</v>
      </c>
      <c r="AF137" s="111">
        <f t="shared" si="50"/>
        <v>162194</v>
      </c>
    </row>
    <row r="138" spans="1:32" x14ac:dyDescent="0.3">
      <c r="A138" s="254"/>
      <c r="B138" s="261"/>
      <c r="C138" s="2" t="s">
        <v>32</v>
      </c>
      <c r="D138" s="3">
        <v>100000</v>
      </c>
      <c r="E138" s="3"/>
      <c r="F138" s="3"/>
      <c r="G138" s="3"/>
      <c r="H138" s="3"/>
      <c r="I138" s="20"/>
      <c r="J138" s="20">
        <f t="shared" ref="J138:J162" si="57">SUM(D138:I138)</f>
        <v>100000</v>
      </c>
      <c r="K138" s="20"/>
      <c r="L138" s="20"/>
      <c r="M138" s="20"/>
      <c r="N138" s="20"/>
      <c r="O138" s="20"/>
      <c r="P138" s="20">
        <f t="shared" si="23"/>
        <v>100000</v>
      </c>
      <c r="Q138" s="20"/>
      <c r="R138" s="20"/>
      <c r="S138" s="20"/>
      <c r="T138" s="20"/>
      <c r="U138" s="20"/>
      <c r="V138" s="20">
        <f t="shared" si="24"/>
        <v>100000</v>
      </c>
      <c r="W138" s="20"/>
      <c r="X138" s="20"/>
      <c r="Y138" s="20"/>
      <c r="Z138" s="20"/>
      <c r="AA138" s="20"/>
      <c r="AB138" s="20"/>
      <c r="AC138" s="20"/>
      <c r="AD138" s="20">
        <f t="shared" si="43"/>
        <v>100000</v>
      </c>
      <c r="AE138" s="108">
        <v>0</v>
      </c>
      <c r="AF138" s="3">
        <f t="shared" si="50"/>
        <v>100000</v>
      </c>
    </row>
    <row r="139" spans="1:32" x14ac:dyDescent="0.3">
      <c r="A139" s="254"/>
      <c r="B139" s="261"/>
      <c r="C139" s="2" t="s">
        <v>33</v>
      </c>
      <c r="D139" s="3">
        <v>130000</v>
      </c>
      <c r="E139" s="3"/>
      <c r="F139" s="3"/>
      <c r="G139" s="3"/>
      <c r="H139" s="3"/>
      <c r="I139" s="20"/>
      <c r="J139" s="20">
        <f t="shared" si="57"/>
        <v>130000</v>
      </c>
      <c r="K139" s="20"/>
      <c r="L139" s="20"/>
      <c r="M139" s="20"/>
      <c r="N139" s="20"/>
      <c r="O139" s="20"/>
      <c r="P139" s="20">
        <f t="shared" si="23"/>
        <v>130000</v>
      </c>
      <c r="Q139" s="20"/>
      <c r="R139" s="20"/>
      <c r="S139" s="20"/>
      <c r="T139" s="20"/>
      <c r="U139" s="20"/>
      <c r="V139" s="20">
        <f t="shared" si="24"/>
        <v>130000</v>
      </c>
      <c r="W139" s="20">
        <v>27088</v>
      </c>
      <c r="X139" s="20"/>
      <c r="Y139" s="20"/>
      <c r="Z139" s="20"/>
      <c r="AA139" s="20"/>
      <c r="AB139" s="20"/>
      <c r="AC139" s="20"/>
      <c r="AD139" s="20">
        <f t="shared" si="43"/>
        <v>157088</v>
      </c>
      <c r="AE139" s="108">
        <v>0</v>
      </c>
      <c r="AF139" s="3">
        <f t="shared" si="50"/>
        <v>157088</v>
      </c>
    </row>
    <row r="140" spans="1:32" x14ac:dyDescent="0.3">
      <c r="A140" s="254"/>
      <c r="B140" s="261"/>
      <c r="C140" s="2" t="s">
        <v>34</v>
      </c>
      <c r="D140" s="3">
        <v>159093</v>
      </c>
      <c r="E140" s="3"/>
      <c r="F140" s="3"/>
      <c r="G140" s="3"/>
      <c r="H140" s="3"/>
      <c r="I140" s="20"/>
      <c r="J140" s="20">
        <f t="shared" si="57"/>
        <v>159093</v>
      </c>
      <c r="K140" s="20"/>
      <c r="L140" s="20"/>
      <c r="M140" s="20"/>
      <c r="N140" s="20"/>
      <c r="O140" s="20"/>
      <c r="P140" s="20">
        <f t="shared" si="23"/>
        <v>159093</v>
      </c>
      <c r="Q140" s="20"/>
      <c r="R140" s="20"/>
      <c r="S140" s="20"/>
      <c r="T140" s="20"/>
      <c r="U140" s="20"/>
      <c r="V140" s="20">
        <f t="shared" si="24"/>
        <v>159093</v>
      </c>
      <c r="W140" s="20"/>
      <c r="X140" s="20"/>
      <c r="Y140" s="20"/>
      <c r="Z140" s="20"/>
      <c r="AA140" s="20"/>
      <c r="AB140" s="20"/>
      <c r="AC140" s="20"/>
      <c r="AD140" s="20">
        <f t="shared" si="43"/>
        <v>159093</v>
      </c>
      <c r="AE140" s="108">
        <v>11040</v>
      </c>
      <c r="AF140" s="3">
        <f t="shared" si="50"/>
        <v>148053</v>
      </c>
    </row>
    <row r="141" spans="1:32" x14ac:dyDescent="0.3">
      <c r="A141" s="254"/>
      <c r="B141" s="261"/>
      <c r="C141" s="2" t="s">
        <v>35</v>
      </c>
      <c r="D141" s="3">
        <v>21227</v>
      </c>
      <c r="E141" s="3"/>
      <c r="F141" s="3"/>
      <c r="G141" s="3"/>
      <c r="H141" s="3"/>
      <c r="I141" s="20"/>
      <c r="J141" s="20">
        <f t="shared" si="57"/>
        <v>21227</v>
      </c>
      <c r="K141" s="20"/>
      <c r="L141" s="20"/>
      <c r="M141" s="20"/>
      <c r="N141" s="20"/>
      <c r="O141" s="20"/>
      <c r="P141" s="20">
        <f t="shared" si="23"/>
        <v>21227</v>
      </c>
      <c r="Q141" s="20"/>
      <c r="R141" s="20"/>
      <c r="S141" s="20"/>
      <c r="T141" s="20"/>
      <c r="U141" s="20"/>
      <c r="V141" s="20">
        <f t="shared" si="24"/>
        <v>21227</v>
      </c>
      <c r="W141" s="20"/>
      <c r="X141" s="20"/>
      <c r="Y141" s="20"/>
      <c r="Z141" s="20"/>
      <c r="AA141" s="20"/>
      <c r="AB141" s="20"/>
      <c r="AC141" s="20"/>
      <c r="AD141" s="20">
        <f t="shared" si="43"/>
        <v>21227</v>
      </c>
      <c r="AE141" s="108">
        <v>8230</v>
      </c>
      <c r="AF141" s="3">
        <f t="shared" si="50"/>
        <v>12997</v>
      </c>
    </row>
    <row r="142" spans="1:32" x14ac:dyDescent="0.3">
      <c r="A142" s="254"/>
      <c r="B142" s="261"/>
      <c r="C142" s="2" t="s">
        <v>195</v>
      </c>
      <c r="D142" s="3">
        <v>114742</v>
      </c>
      <c r="E142" s="3"/>
      <c r="F142" s="3"/>
      <c r="G142" s="3"/>
      <c r="H142" s="3"/>
      <c r="I142" s="20"/>
      <c r="J142" s="20">
        <f t="shared" si="57"/>
        <v>114742</v>
      </c>
      <c r="K142" s="20"/>
      <c r="L142" s="20"/>
      <c r="M142" s="20"/>
      <c r="N142" s="20"/>
      <c r="O142" s="20"/>
      <c r="P142" s="20">
        <f t="shared" si="23"/>
        <v>114742</v>
      </c>
      <c r="Q142" s="20"/>
      <c r="R142" s="20"/>
      <c r="S142" s="20"/>
      <c r="T142" s="20"/>
      <c r="U142" s="20"/>
      <c r="V142" s="20">
        <f t="shared" si="24"/>
        <v>114742</v>
      </c>
      <c r="W142" s="20"/>
      <c r="X142" s="20"/>
      <c r="Y142" s="20"/>
      <c r="Z142" s="20"/>
      <c r="AA142" s="20"/>
      <c r="AB142" s="20"/>
      <c r="AC142" s="20"/>
      <c r="AD142" s="20">
        <f t="shared" si="43"/>
        <v>114742</v>
      </c>
      <c r="AE142" s="108">
        <v>91076</v>
      </c>
      <c r="AF142" s="3">
        <f t="shared" si="50"/>
        <v>23666</v>
      </c>
    </row>
    <row r="143" spans="1:32" x14ac:dyDescent="0.3">
      <c r="A143" s="254"/>
      <c r="B143" s="261"/>
      <c r="C143" s="2" t="s">
        <v>196</v>
      </c>
      <c r="D143" s="3">
        <v>2250</v>
      </c>
      <c r="E143" s="3"/>
      <c r="F143" s="3"/>
      <c r="G143" s="3"/>
      <c r="H143" s="3"/>
      <c r="I143" s="20"/>
      <c r="J143" s="20">
        <f>SUM(D143:I143)</f>
        <v>2250</v>
      </c>
      <c r="K143" s="20">
        <v>2500</v>
      </c>
      <c r="L143" s="20"/>
      <c r="M143" s="20"/>
      <c r="N143" s="20"/>
      <c r="O143" s="20"/>
      <c r="P143" s="20">
        <f t="shared" si="23"/>
        <v>4750</v>
      </c>
      <c r="Q143" s="20"/>
      <c r="R143" s="20"/>
      <c r="S143" s="20"/>
      <c r="T143" s="20"/>
      <c r="U143" s="20"/>
      <c r="V143" s="20">
        <f t="shared" si="24"/>
        <v>4750</v>
      </c>
      <c r="W143" s="20"/>
      <c r="X143" s="20"/>
      <c r="Y143" s="20"/>
      <c r="Z143" s="20"/>
      <c r="AA143" s="20"/>
      <c r="AB143" s="20"/>
      <c r="AC143" s="20"/>
      <c r="AD143" s="20">
        <f t="shared" si="43"/>
        <v>4750</v>
      </c>
      <c r="AE143" s="108">
        <v>3854</v>
      </c>
      <c r="AF143" s="3">
        <f t="shared" si="50"/>
        <v>896</v>
      </c>
    </row>
    <row r="144" spans="1:32" x14ac:dyDescent="0.3">
      <c r="A144" s="254"/>
      <c r="B144" s="261"/>
      <c r="C144" s="2" t="s">
        <v>38</v>
      </c>
      <c r="D144" s="3">
        <v>50000</v>
      </c>
      <c r="E144" s="3"/>
      <c r="F144" s="3"/>
      <c r="G144" s="3"/>
      <c r="H144" s="3"/>
      <c r="I144" s="20"/>
      <c r="J144" s="20">
        <f t="shared" si="57"/>
        <v>50000</v>
      </c>
      <c r="K144" s="20"/>
      <c r="L144" s="20"/>
      <c r="M144" s="20"/>
      <c r="N144" s="20"/>
      <c r="O144" s="20"/>
      <c r="P144" s="20">
        <f t="shared" si="23"/>
        <v>50000</v>
      </c>
      <c r="Q144" s="20"/>
      <c r="R144" s="20"/>
      <c r="S144" s="20"/>
      <c r="T144" s="20"/>
      <c r="U144" s="20"/>
      <c r="V144" s="20">
        <f t="shared" si="24"/>
        <v>50000</v>
      </c>
      <c r="W144" s="20">
        <v>-34262</v>
      </c>
      <c r="X144" s="20"/>
      <c r="Y144" s="20"/>
      <c r="Z144" s="20"/>
      <c r="AA144" s="20"/>
      <c r="AB144" s="20"/>
      <c r="AC144" s="20"/>
      <c r="AD144" s="20">
        <f t="shared" si="43"/>
        <v>15738</v>
      </c>
      <c r="AE144" s="108">
        <v>0</v>
      </c>
      <c r="AF144" s="3">
        <f t="shared" si="50"/>
        <v>15738</v>
      </c>
    </row>
    <row r="145" spans="1:32" x14ac:dyDescent="0.3">
      <c r="A145" s="254"/>
      <c r="B145" s="261"/>
      <c r="C145" s="2" t="s">
        <v>40</v>
      </c>
      <c r="D145" s="3">
        <v>78700</v>
      </c>
      <c r="E145" s="3"/>
      <c r="F145" s="3"/>
      <c r="G145" s="3"/>
      <c r="H145" s="3"/>
      <c r="I145" s="20"/>
      <c r="J145" s="20">
        <f t="shared" si="57"/>
        <v>78700</v>
      </c>
      <c r="K145" s="20"/>
      <c r="L145" s="20"/>
      <c r="M145" s="20"/>
      <c r="N145" s="20"/>
      <c r="O145" s="20"/>
      <c r="P145" s="20">
        <f t="shared" si="23"/>
        <v>78700</v>
      </c>
      <c r="Q145" s="20"/>
      <c r="R145" s="20"/>
      <c r="S145" s="20"/>
      <c r="T145" s="20"/>
      <c r="U145" s="20"/>
      <c r="V145" s="20">
        <f t="shared" si="24"/>
        <v>78700</v>
      </c>
      <c r="W145" s="20"/>
      <c r="X145" s="20"/>
      <c r="Y145" s="20"/>
      <c r="Z145" s="20"/>
      <c r="AA145" s="20"/>
      <c r="AB145" s="20"/>
      <c r="AC145" s="20"/>
      <c r="AD145" s="20">
        <f t="shared" si="43"/>
        <v>78700</v>
      </c>
      <c r="AE145" s="108">
        <v>38700</v>
      </c>
      <c r="AF145" s="3">
        <f t="shared" si="50"/>
        <v>40000</v>
      </c>
    </row>
    <row r="146" spans="1:32" x14ac:dyDescent="0.3">
      <c r="A146" s="254"/>
      <c r="B146" s="261"/>
      <c r="C146" s="2" t="s">
        <v>41</v>
      </c>
      <c r="D146" s="3">
        <v>188538</v>
      </c>
      <c r="E146" s="3"/>
      <c r="F146" s="3"/>
      <c r="G146" s="3"/>
      <c r="H146" s="3"/>
      <c r="I146" s="20"/>
      <c r="J146" s="20">
        <f t="shared" si="57"/>
        <v>188538</v>
      </c>
      <c r="K146" s="20">
        <v>-2500</v>
      </c>
      <c r="L146" s="20"/>
      <c r="M146" s="20"/>
      <c r="N146" s="20"/>
      <c r="O146" s="20"/>
      <c r="P146" s="20">
        <f t="shared" ref="P146:P216" si="58">SUM(J146:O146)</f>
        <v>186038</v>
      </c>
      <c r="Q146" s="20"/>
      <c r="R146" s="20"/>
      <c r="S146" s="20"/>
      <c r="T146" s="20"/>
      <c r="U146" s="20"/>
      <c r="V146" s="20">
        <f t="shared" si="24"/>
        <v>186038</v>
      </c>
      <c r="W146" s="20">
        <v>-27088</v>
      </c>
      <c r="X146" s="20"/>
      <c r="Y146" s="20"/>
      <c r="Z146" s="20"/>
      <c r="AA146" s="20"/>
      <c r="AB146" s="20"/>
      <c r="AC146" s="20"/>
      <c r="AD146" s="20">
        <f t="shared" si="43"/>
        <v>158950</v>
      </c>
      <c r="AE146" s="108">
        <v>147399</v>
      </c>
      <c r="AF146" s="3">
        <f t="shared" si="50"/>
        <v>11551</v>
      </c>
    </row>
    <row r="147" spans="1:32" x14ac:dyDescent="0.3">
      <c r="A147" s="254"/>
      <c r="B147" s="261"/>
      <c r="C147" s="2" t="s">
        <v>42</v>
      </c>
      <c r="D147" s="3">
        <v>150000</v>
      </c>
      <c r="E147" s="3"/>
      <c r="F147" s="3"/>
      <c r="G147" s="3"/>
      <c r="H147" s="3"/>
      <c r="I147" s="20"/>
      <c r="J147" s="20">
        <f t="shared" si="57"/>
        <v>150000</v>
      </c>
      <c r="K147" s="20"/>
      <c r="L147" s="20"/>
      <c r="M147" s="20"/>
      <c r="N147" s="20"/>
      <c r="O147" s="20"/>
      <c r="P147" s="20">
        <f t="shared" si="58"/>
        <v>150000</v>
      </c>
      <c r="Q147" s="20"/>
      <c r="R147" s="20"/>
      <c r="S147" s="20"/>
      <c r="T147" s="20"/>
      <c r="U147" s="20"/>
      <c r="V147" s="20">
        <f t="shared" ref="V147:V217" si="59">SUM(P147:U147)</f>
        <v>150000</v>
      </c>
      <c r="W147" s="20">
        <v>34262</v>
      </c>
      <c r="X147" s="20"/>
      <c r="Y147" s="20"/>
      <c r="Z147" s="20"/>
      <c r="AA147" s="20"/>
      <c r="AB147" s="20"/>
      <c r="AC147" s="20"/>
      <c r="AD147" s="20">
        <f t="shared" si="43"/>
        <v>184262</v>
      </c>
      <c r="AE147" s="108">
        <v>167560</v>
      </c>
      <c r="AF147" s="3">
        <f t="shared" si="50"/>
        <v>16702</v>
      </c>
    </row>
    <row r="148" spans="1:32" x14ac:dyDescent="0.3">
      <c r="A148" s="254"/>
      <c r="B148" s="261"/>
      <c r="C148" s="2" t="s">
        <v>44</v>
      </c>
      <c r="D148" s="3">
        <v>160048</v>
      </c>
      <c r="E148" s="3"/>
      <c r="F148" s="3"/>
      <c r="G148" s="3"/>
      <c r="H148" s="3"/>
      <c r="I148" s="20"/>
      <c r="J148" s="20">
        <f t="shared" si="57"/>
        <v>160048</v>
      </c>
      <c r="K148" s="20"/>
      <c r="L148" s="20"/>
      <c r="M148" s="20"/>
      <c r="N148" s="20"/>
      <c r="O148" s="20"/>
      <c r="P148" s="20">
        <f t="shared" si="58"/>
        <v>160048</v>
      </c>
      <c r="Q148" s="20"/>
      <c r="R148" s="20"/>
      <c r="S148" s="20"/>
      <c r="T148" s="20"/>
      <c r="U148" s="20"/>
      <c r="V148" s="20">
        <f>SUM(P148:U148)</f>
        <v>160048</v>
      </c>
      <c r="W148" s="20"/>
      <c r="X148" s="20"/>
      <c r="Y148" s="20"/>
      <c r="Z148" s="20"/>
      <c r="AA148" s="20"/>
      <c r="AB148" s="20"/>
      <c r="AC148" s="20"/>
      <c r="AD148" s="20">
        <f t="shared" si="43"/>
        <v>160048</v>
      </c>
      <c r="AE148" s="108">
        <v>30387</v>
      </c>
      <c r="AF148" s="3">
        <f t="shared" si="50"/>
        <v>129661</v>
      </c>
    </row>
    <row r="149" spans="1:32" x14ac:dyDescent="0.3">
      <c r="A149" s="254"/>
      <c r="B149" s="261"/>
      <c r="C149" s="2" t="s">
        <v>45</v>
      </c>
      <c r="D149" s="3">
        <v>4267</v>
      </c>
      <c r="E149" s="3"/>
      <c r="F149" s="3"/>
      <c r="G149" s="3"/>
      <c r="H149" s="3"/>
      <c r="I149" s="20"/>
      <c r="J149" s="20">
        <f t="shared" si="57"/>
        <v>4267</v>
      </c>
      <c r="K149" s="20"/>
      <c r="L149" s="20"/>
      <c r="M149" s="20"/>
      <c r="N149" s="20"/>
      <c r="O149" s="20"/>
      <c r="P149" s="20">
        <f t="shared" si="58"/>
        <v>4267</v>
      </c>
      <c r="Q149" s="20"/>
      <c r="R149" s="20"/>
      <c r="S149" s="20"/>
      <c r="T149" s="20"/>
      <c r="U149" s="20"/>
      <c r="V149" s="20">
        <f>SUM(P149:U149)</f>
        <v>4267</v>
      </c>
      <c r="W149" s="20"/>
      <c r="X149" s="20"/>
      <c r="Y149" s="20"/>
      <c r="Z149" s="20"/>
      <c r="AA149" s="20"/>
      <c r="AB149" s="20"/>
      <c r="AC149" s="20"/>
      <c r="AD149" s="20">
        <f t="shared" si="43"/>
        <v>4267</v>
      </c>
      <c r="AE149" s="108">
        <v>3648</v>
      </c>
      <c r="AF149" s="3">
        <f t="shared" si="50"/>
        <v>619</v>
      </c>
    </row>
    <row r="150" spans="1:32" x14ac:dyDescent="0.3">
      <c r="A150" s="254"/>
      <c r="B150" s="261"/>
      <c r="C150" s="6" t="s">
        <v>49</v>
      </c>
      <c r="D150" s="7">
        <f>SUM(D138:D149)</f>
        <v>1158865</v>
      </c>
      <c r="E150" s="7">
        <f t="shared" ref="E150:N150" si="60">SUM(E138:E148)</f>
        <v>0</v>
      </c>
      <c r="F150" s="7">
        <f t="shared" si="60"/>
        <v>0</v>
      </c>
      <c r="G150" s="7">
        <f t="shared" si="60"/>
        <v>0</v>
      </c>
      <c r="H150" s="7">
        <f t="shared" si="60"/>
        <v>0</v>
      </c>
      <c r="I150" s="7">
        <f t="shared" si="60"/>
        <v>0</v>
      </c>
      <c r="J150" s="7">
        <f>SUM(J138:J149)</f>
        <v>1158865</v>
      </c>
      <c r="K150" s="7">
        <f t="shared" si="60"/>
        <v>0</v>
      </c>
      <c r="L150" s="7">
        <f t="shared" si="60"/>
        <v>0</v>
      </c>
      <c r="M150" s="7">
        <f t="shared" si="60"/>
        <v>0</v>
      </c>
      <c r="N150" s="7">
        <f t="shared" si="60"/>
        <v>0</v>
      </c>
      <c r="O150" s="7"/>
      <c r="P150" s="7">
        <f t="shared" si="58"/>
        <v>1158865</v>
      </c>
      <c r="Q150" s="7">
        <f>SUM(Q138:Q148)</f>
        <v>0</v>
      </c>
      <c r="R150" s="7">
        <f t="shared" ref="R150:AC150" si="61">SUM(R138:R148)</f>
        <v>0</v>
      </c>
      <c r="S150" s="7">
        <f t="shared" si="61"/>
        <v>0</v>
      </c>
      <c r="T150" s="7">
        <f t="shared" si="61"/>
        <v>0</v>
      </c>
      <c r="U150" s="7">
        <f t="shared" si="61"/>
        <v>0</v>
      </c>
      <c r="V150" s="7">
        <f t="shared" si="59"/>
        <v>1158865</v>
      </c>
      <c r="W150" s="7">
        <f t="shared" si="61"/>
        <v>0</v>
      </c>
      <c r="X150" s="7">
        <f t="shared" si="61"/>
        <v>0</v>
      </c>
      <c r="Y150" s="7">
        <f t="shared" si="61"/>
        <v>0</v>
      </c>
      <c r="Z150" s="7">
        <f t="shared" si="61"/>
        <v>0</v>
      </c>
      <c r="AA150" s="7">
        <f t="shared" si="61"/>
        <v>0</v>
      </c>
      <c r="AB150" s="7">
        <f t="shared" si="61"/>
        <v>0</v>
      </c>
      <c r="AC150" s="7">
        <f t="shared" si="61"/>
        <v>0</v>
      </c>
      <c r="AD150" s="7">
        <f t="shared" si="43"/>
        <v>1158865</v>
      </c>
      <c r="AE150" s="110">
        <f>SUM(AE138:AE149)</f>
        <v>501894</v>
      </c>
      <c r="AF150" s="110">
        <f t="shared" si="50"/>
        <v>656971</v>
      </c>
    </row>
    <row r="151" spans="1:32" x14ac:dyDescent="0.3">
      <c r="A151" s="262" t="s">
        <v>64</v>
      </c>
      <c r="B151" s="264" t="s">
        <v>23</v>
      </c>
      <c r="C151" s="15" t="s">
        <v>29</v>
      </c>
      <c r="D151" s="24">
        <v>0</v>
      </c>
      <c r="E151" s="11"/>
      <c r="F151" s="187"/>
      <c r="G151" s="187"/>
      <c r="H151" s="11"/>
      <c r="I151" s="192"/>
      <c r="J151" s="20">
        <f t="shared" si="57"/>
        <v>0</v>
      </c>
      <c r="K151" s="20"/>
      <c r="L151" s="20"/>
      <c r="M151" s="20"/>
      <c r="N151" s="20"/>
      <c r="O151" s="20"/>
      <c r="P151" s="20">
        <f t="shared" si="58"/>
        <v>0</v>
      </c>
      <c r="Q151" s="20"/>
      <c r="R151" s="20"/>
      <c r="S151" s="20"/>
      <c r="T151" s="20"/>
      <c r="U151" s="20"/>
      <c r="V151" s="20">
        <f t="shared" si="59"/>
        <v>0</v>
      </c>
      <c r="W151" s="20"/>
      <c r="X151" s="20"/>
      <c r="Y151" s="20"/>
      <c r="Z151" s="20"/>
      <c r="AA151" s="20"/>
      <c r="AB151" s="20"/>
      <c r="AC151" s="20"/>
      <c r="AD151" s="20">
        <f t="shared" si="43"/>
        <v>0</v>
      </c>
      <c r="AE151" s="108">
        <v>0</v>
      </c>
      <c r="AF151" s="3">
        <f t="shared" si="50"/>
        <v>0</v>
      </c>
    </row>
    <row r="152" spans="1:32" x14ac:dyDescent="0.3">
      <c r="A152" s="263"/>
      <c r="B152" s="265"/>
      <c r="C152" s="15" t="s">
        <v>31</v>
      </c>
      <c r="D152" s="24">
        <v>0</v>
      </c>
      <c r="E152" s="11"/>
      <c r="F152" s="187"/>
      <c r="G152" s="187"/>
      <c r="H152" s="11"/>
      <c r="I152" s="192"/>
      <c r="J152" s="20">
        <f t="shared" si="57"/>
        <v>0</v>
      </c>
      <c r="K152" s="20"/>
      <c r="L152" s="20"/>
      <c r="M152" s="20"/>
      <c r="N152" s="20"/>
      <c r="O152" s="20"/>
      <c r="P152" s="20">
        <f t="shared" si="58"/>
        <v>0</v>
      </c>
      <c r="Q152" s="20"/>
      <c r="R152" s="20"/>
      <c r="S152" s="20"/>
      <c r="T152" s="20"/>
      <c r="U152" s="20"/>
      <c r="V152" s="20">
        <f t="shared" si="59"/>
        <v>0</v>
      </c>
      <c r="W152" s="20"/>
      <c r="X152" s="20"/>
      <c r="Y152" s="20"/>
      <c r="Z152" s="20"/>
      <c r="AA152" s="20"/>
      <c r="AB152" s="20"/>
      <c r="AC152" s="20"/>
      <c r="AD152" s="20">
        <f t="shared" si="43"/>
        <v>0</v>
      </c>
      <c r="AE152" s="108">
        <v>0</v>
      </c>
      <c r="AF152" s="3">
        <f t="shared" si="50"/>
        <v>0</v>
      </c>
    </row>
    <row r="153" spans="1:32" x14ac:dyDescent="0.3">
      <c r="A153" s="262" t="s">
        <v>65</v>
      </c>
      <c r="B153" s="264" t="s">
        <v>23</v>
      </c>
      <c r="C153" s="15" t="s">
        <v>24</v>
      </c>
      <c r="D153" s="24">
        <v>3276000</v>
      </c>
      <c r="E153" s="11"/>
      <c r="F153" s="187"/>
      <c r="G153" s="187"/>
      <c r="H153" s="11"/>
      <c r="I153" s="192"/>
      <c r="J153" s="20">
        <f t="shared" si="57"/>
        <v>3276000</v>
      </c>
      <c r="K153" s="20"/>
      <c r="L153" s="20"/>
      <c r="M153" s="20"/>
      <c r="N153" s="20"/>
      <c r="O153" s="20"/>
      <c r="P153" s="20">
        <f t="shared" si="58"/>
        <v>3276000</v>
      </c>
      <c r="Q153" s="20"/>
      <c r="R153" s="20"/>
      <c r="S153" s="20"/>
      <c r="T153" s="20"/>
      <c r="U153" s="20"/>
      <c r="V153" s="20">
        <f t="shared" si="59"/>
        <v>3276000</v>
      </c>
      <c r="W153" s="20"/>
      <c r="X153" s="20"/>
      <c r="Y153" s="20"/>
      <c r="Z153" s="20"/>
      <c r="AA153" s="20"/>
      <c r="AB153" s="20"/>
      <c r="AC153" s="20"/>
      <c r="AD153" s="20">
        <f t="shared" si="43"/>
        <v>3276000</v>
      </c>
      <c r="AE153" s="108">
        <v>3276000</v>
      </c>
      <c r="AF153" s="3">
        <f t="shared" si="50"/>
        <v>0</v>
      </c>
    </row>
    <row r="154" spans="1:32" x14ac:dyDescent="0.3">
      <c r="A154" s="263"/>
      <c r="B154" s="265"/>
      <c r="C154" s="15" t="s">
        <v>31</v>
      </c>
      <c r="D154" s="24">
        <v>425880</v>
      </c>
      <c r="E154" s="11"/>
      <c r="F154" s="187"/>
      <c r="G154" s="187"/>
      <c r="H154" s="11"/>
      <c r="I154" s="192"/>
      <c r="J154" s="20">
        <f t="shared" si="57"/>
        <v>425880</v>
      </c>
      <c r="K154" s="20"/>
      <c r="L154" s="20"/>
      <c r="M154" s="20"/>
      <c r="N154" s="20"/>
      <c r="O154" s="20"/>
      <c r="P154" s="20">
        <f t="shared" si="58"/>
        <v>425880</v>
      </c>
      <c r="Q154" s="20"/>
      <c r="R154" s="20">
        <v>2</v>
      </c>
      <c r="S154" s="20"/>
      <c r="T154" s="20"/>
      <c r="U154" s="20"/>
      <c r="V154" s="20">
        <f t="shared" si="59"/>
        <v>425882</v>
      </c>
      <c r="W154" s="20"/>
      <c r="X154" s="20"/>
      <c r="Y154" s="20"/>
      <c r="Z154" s="20">
        <v>-1</v>
      </c>
      <c r="AA154" s="20"/>
      <c r="AB154" s="20"/>
      <c r="AC154" s="20"/>
      <c r="AD154" s="20">
        <f t="shared" si="43"/>
        <v>425881</v>
      </c>
      <c r="AE154" s="108">
        <v>425881</v>
      </c>
      <c r="AF154" s="3">
        <f t="shared" si="50"/>
        <v>0</v>
      </c>
    </row>
    <row r="155" spans="1:32" x14ac:dyDescent="0.3">
      <c r="A155" s="319" t="s">
        <v>78</v>
      </c>
      <c r="B155" s="320"/>
      <c r="C155" s="321"/>
      <c r="D155" s="80">
        <f>SUM(D136+D137+D150+D151+D152+D153+D154)</f>
        <v>13559157</v>
      </c>
      <c r="E155" s="80">
        <f t="shared" ref="E155:AE155" si="62">SUM(E136+E137+E150+E151+E152+E153+E154)</f>
        <v>0</v>
      </c>
      <c r="F155" s="80">
        <f t="shared" si="62"/>
        <v>0</v>
      </c>
      <c r="G155" s="80">
        <f t="shared" si="62"/>
        <v>0</v>
      </c>
      <c r="H155" s="80">
        <f>SUM(H136+H137+H150+H151+H152+H153+H154)</f>
        <v>0</v>
      </c>
      <c r="I155" s="80">
        <f t="shared" ref="I155" si="63">SUM(I136+I137+I150+I151+I152+I153+I154)</f>
        <v>0</v>
      </c>
      <c r="J155" s="80">
        <f>SUM(J136+J137+J150+J151+J152+J153+J154)</f>
        <v>13559157</v>
      </c>
      <c r="K155" s="80">
        <f t="shared" ref="K155:N155" si="64">SUM(K136+K137+K150+K151+K152+K153+K154)</f>
        <v>0</v>
      </c>
      <c r="L155" s="80">
        <f t="shared" si="64"/>
        <v>73635</v>
      </c>
      <c r="M155" s="80">
        <f t="shared" si="64"/>
        <v>0</v>
      </c>
      <c r="N155" s="80">
        <f t="shared" si="64"/>
        <v>0</v>
      </c>
      <c r="O155" s="80"/>
      <c r="P155" s="80">
        <f t="shared" si="58"/>
        <v>13632792</v>
      </c>
      <c r="Q155" s="80">
        <f t="shared" si="62"/>
        <v>0</v>
      </c>
      <c r="R155" s="80">
        <f t="shared" si="62"/>
        <v>2</v>
      </c>
      <c r="S155" s="80">
        <f t="shared" si="62"/>
        <v>50624</v>
      </c>
      <c r="T155" s="80">
        <f t="shared" si="62"/>
        <v>0</v>
      </c>
      <c r="U155" s="80">
        <f t="shared" si="62"/>
        <v>0</v>
      </c>
      <c r="V155" s="80">
        <f t="shared" si="59"/>
        <v>13683418</v>
      </c>
      <c r="W155" s="80">
        <f t="shared" si="62"/>
        <v>0</v>
      </c>
      <c r="X155" s="80">
        <f t="shared" si="62"/>
        <v>0</v>
      </c>
      <c r="Y155" s="80">
        <f t="shared" si="62"/>
        <v>25312</v>
      </c>
      <c r="Z155" s="80">
        <f t="shared" si="62"/>
        <v>-1</v>
      </c>
      <c r="AA155" s="80">
        <f t="shared" si="62"/>
        <v>0</v>
      </c>
      <c r="AB155" s="80">
        <f t="shared" si="62"/>
        <v>0</v>
      </c>
      <c r="AC155" s="80">
        <f t="shared" si="62"/>
        <v>0</v>
      </c>
      <c r="AD155" s="80">
        <f t="shared" si="43"/>
        <v>13708729</v>
      </c>
      <c r="AE155" s="112">
        <f t="shared" si="62"/>
        <v>12778812</v>
      </c>
      <c r="AF155" s="112">
        <f t="shared" si="50"/>
        <v>929917</v>
      </c>
    </row>
    <row r="156" spans="1:32" x14ac:dyDescent="0.3">
      <c r="A156" s="254" t="s">
        <v>185</v>
      </c>
      <c r="B156" s="261" t="s">
        <v>23</v>
      </c>
      <c r="C156" s="2" t="s">
        <v>24</v>
      </c>
      <c r="D156" s="3">
        <v>7201125</v>
      </c>
      <c r="E156" s="3">
        <f>-110066</f>
        <v>-110066</v>
      </c>
      <c r="F156" s="3"/>
      <c r="G156" s="3"/>
      <c r="H156" s="3"/>
      <c r="I156" s="20"/>
      <c r="J156" s="20">
        <f t="shared" si="57"/>
        <v>7091059</v>
      </c>
      <c r="K156" s="20">
        <f>+-43240-57653</f>
        <v>-100893</v>
      </c>
      <c r="L156" s="20"/>
      <c r="M156" s="20"/>
      <c r="N156" s="20"/>
      <c r="O156" s="20"/>
      <c r="P156" s="20">
        <f t="shared" si="58"/>
        <v>6990166</v>
      </c>
      <c r="Q156" s="20">
        <f>-100000-24658</f>
        <v>-124658</v>
      </c>
      <c r="R156" s="20"/>
      <c r="S156" s="20"/>
      <c r="T156" s="20"/>
      <c r="U156" s="20"/>
      <c r="V156" s="20">
        <f t="shared" si="59"/>
        <v>6865508</v>
      </c>
      <c r="W156" s="20">
        <v>-21493</v>
      </c>
      <c r="X156" s="20"/>
      <c r="Y156" s="20"/>
      <c r="Z156" s="20"/>
      <c r="AA156" s="20"/>
      <c r="AB156" s="20"/>
      <c r="AC156" s="20"/>
      <c r="AD156" s="20">
        <f t="shared" si="43"/>
        <v>6844015</v>
      </c>
      <c r="AE156" s="108">
        <v>6693257</v>
      </c>
      <c r="AF156" s="3">
        <f t="shared" si="50"/>
        <v>150758</v>
      </c>
    </row>
    <row r="157" spans="1:32" x14ac:dyDescent="0.3">
      <c r="A157" s="254"/>
      <c r="B157" s="261"/>
      <c r="C157" s="2" t="s">
        <v>25</v>
      </c>
      <c r="D157" s="3">
        <v>200000</v>
      </c>
      <c r="E157" s="3"/>
      <c r="F157" s="3"/>
      <c r="G157" s="3"/>
      <c r="H157" s="3"/>
      <c r="I157" s="20"/>
      <c r="J157" s="20">
        <f t="shared" si="57"/>
        <v>200000</v>
      </c>
      <c r="K157" s="20"/>
      <c r="L157" s="20"/>
      <c r="M157" s="20"/>
      <c r="N157" s="20"/>
      <c r="O157" s="20"/>
      <c r="P157" s="20">
        <f t="shared" si="58"/>
        <v>200000</v>
      </c>
      <c r="Q157" s="20">
        <f>100000+24658</f>
        <v>124658</v>
      </c>
      <c r="R157" s="20"/>
      <c r="S157" s="20"/>
      <c r="T157" s="20"/>
      <c r="U157" s="20"/>
      <c r="V157" s="20">
        <f t="shared" si="59"/>
        <v>324658</v>
      </c>
      <c r="W157" s="20">
        <f>8762-48762</f>
        <v>-40000</v>
      </c>
      <c r="X157" s="20"/>
      <c r="Y157" s="20"/>
      <c r="Z157" s="20"/>
      <c r="AA157" s="20"/>
      <c r="AB157" s="20"/>
      <c r="AC157" s="20"/>
      <c r="AD157" s="20">
        <f t="shared" si="43"/>
        <v>284658</v>
      </c>
      <c r="AE157" s="108">
        <v>284658</v>
      </c>
      <c r="AF157" s="3">
        <f t="shared" si="50"/>
        <v>0</v>
      </c>
    </row>
    <row r="158" spans="1:32" x14ac:dyDescent="0.3">
      <c r="A158" s="254"/>
      <c r="B158" s="261"/>
      <c r="C158" s="2" t="s">
        <v>26</v>
      </c>
      <c r="D158" s="3">
        <v>13350</v>
      </c>
      <c r="E158" s="3"/>
      <c r="F158" s="3"/>
      <c r="G158" s="3"/>
      <c r="H158" s="3"/>
      <c r="I158" s="20"/>
      <c r="J158" s="20">
        <f t="shared" si="57"/>
        <v>13350</v>
      </c>
      <c r="K158" s="20"/>
      <c r="L158" s="20"/>
      <c r="M158" s="20"/>
      <c r="N158" s="20"/>
      <c r="O158" s="20"/>
      <c r="P158" s="20">
        <f t="shared" si="58"/>
        <v>13350</v>
      </c>
      <c r="Q158" s="20"/>
      <c r="R158" s="20"/>
      <c r="S158" s="20"/>
      <c r="T158" s="20"/>
      <c r="U158" s="20"/>
      <c r="V158" s="20">
        <f t="shared" si="59"/>
        <v>13350</v>
      </c>
      <c r="W158" s="20"/>
      <c r="X158" s="20"/>
      <c r="Y158" s="20"/>
      <c r="Z158" s="20"/>
      <c r="AA158" s="20"/>
      <c r="AB158" s="20"/>
      <c r="AC158" s="20"/>
      <c r="AD158" s="20">
        <f t="shared" si="43"/>
        <v>13350</v>
      </c>
      <c r="AE158" s="108">
        <v>8357</v>
      </c>
      <c r="AF158" s="3">
        <f t="shared" si="50"/>
        <v>4993</v>
      </c>
    </row>
    <row r="159" spans="1:32" x14ac:dyDescent="0.3">
      <c r="A159" s="254"/>
      <c r="B159" s="261"/>
      <c r="C159" s="2" t="s">
        <v>27</v>
      </c>
      <c r="D159" s="3">
        <v>188000</v>
      </c>
      <c r="E159" s="3"/>
      <c r="F159" s="3"/>
      <c r="G159" s="3"/>
      <c r="H159" s="3"/>
      <c r="I159" s="20"/>
      <c r="J159" s="20">
        <f t="shared" si="57"/>
        <v>188000</v>
      </c>
      <c r="K159" s="20"/>
      <c r="L159" s="20"/>
      <c r="M159" s="20"/>
      <c r="N159" s="20"/>
      <c r="O159" s="20"/>
      <c r="P159" s="20">
        <f t="shared" si="58"/>
        <v>188000</v>
      </c>
      <c r="Q159" s="20"/>
      <c r="R159" s="20"/>
      <c r="S159" s="20"/>
      <c r="T159" s="20"/>
      <c r="U159" s="20"/>
      <c r="V159" s="20">
        <f t="shared" si="59"/>
        <v>188000</v>
      </c>
      <c r="W159" s="20">
        <f>-8762+48762</f>
        <v>40000</v>
      </c>
      <c r="X159" s="20"/>
      <c r="Y159" s="20"/>
      <c r="Z159" s="20"/>
      <c r="AA159" s="20"/>
      <c r="AB159" s="20"/>
      <c r="AC159" s="20"/>
      <c r="AD159" s="20">
        <f t="shared" si="43"/>
        <v>228000</v>
      </c>
      <c r="AE159" s="108">
        <v>193272</v>
      </c>
      <c r="AF159" s="3">
        <f t="shared" si="50"/>
        <v>34728</v>
      </c>
    </row>
    <row r="160" spans="1:32" x14ac:dyDescent="0.3">
      <c r="A160" s="254"/>
      <c r="B160" s="261"/>
      <c r="C160" s="2" t="s">
        <v>28</v>
      </c>
      <c r="D160" s="3">
        <v>24000</v>
      </c>
      <c r="E160" s="3"/>
      <c r="F160" s="3"/>
      <c r="G160" s="3"/>
      <c r="H160" s="3"/>
      <c r="I160" s="20"/>
      <c r="J160" s="20">
        <f t="shared" si="57"/>
        <v>24000</v>
      </c>
      <c r="K160" s="20"/>
      <c r="L160" s="20"/>
      <c r="M160" s="20"/>
      <c r="N160" s="20"/>
      <c r="O160" s="20"/>
      <c r="P160" s="20">
        <f t="shared" si="58"/>
        <v>24000</v>
      </c>
      <c r="Q160" s="20">
        <v>-24000</v>
      </c>
      <c r="R160" s="20"/>
      <c r="S160" s="20"/>
      <c r="T160" s="20"/>
      <c r="U160" s="20"/>
      <c r="V160" s="20">
        <f t="shared" si="59"/>
        <v>0</v>
      </c>
      <c r="W160" s="20"/>
      <c r="X160" s="20"/>
      <c r="Y160" s="20"/>
      <c r="Z160" s="20"/>
      <c r="AA160" s="20"/>
      <c r="AB160" s="20"/>
      <c r="AC160" s="20"/>
      <c r="AD160" s="20">
        <f t="shared" si="43"/>
        <v>0</v>
      </c>
      <c r="AE160" s="108">
        <v>0</v>
      </c>
      <c r="AF160" s="3">
        <f t="shared" si="50"/>
        <v>0</v>
      </c>
    </row>
    <row r="161" spans="1:32" x14ac:dyDescent="0.3">
      <c r="A161" s="254"/>
      <c r="B161" s="261"/>
      <c r="C161" s="2" t="s">
        <v>29</v>
      </c>
      <c r="D161" s="3">
        <v>0</v>
      </c>
      <c r="E161" s="3">
        <f>110066</f>
        <v>110066</v>
      </c>
      <c r="F161" s="3"/>
      <c r="G161" s="3"/>
      <c r="H161" s="3"/>
      <c r="I161" s="20"/>
      <c r="J161" s="20">
        <f t="shared" si="57"/>
        <v>110066</v>
      </c>
      <c r="K161" s="20">
        <f>43240+57653</f>
        <v>100893</v>
      </c>
      <c r="L161" s="20"/>
      <c r="M161" s="20"/>
      <c r="N161" s="20"/>
      <c r="O161" s="20"/>
      <c r="P161" s="20">
        <f t="shared" si="58"/>
        <v>210959</v>
      </c>
      <c r="Q161" s="20">
        <v>24000</v>
      </c>
      <c r="R161" s="20"/>
      <c r="S161" s="20"/>
      <c r="T161" s="20"/>
      <c r="U161" s="20"/>
      <c r="V161" s="20">
        <f t="shared" si="59"/>
        <v>234959</v>
      </c>
      <c r="W161" s="20">
        <v>21493</v>
      </c>
      <c r="X161" s="20"/>
      <c r="Y161" s="20"/>
      <c r="Z161" s="20"/>
      <c r="AA161" s="20"/>
      <c r="AB161" s="20"/>
      <c r="AC161" s="20"/>
      <c r="AD161" s="20">
        <f t="shared" si="43"/>
        <v>256452</v>
      </c>
      <c r="AE161" s="108">
        <v>255452</v>
      </c>
      <c r="AF161" s="3">
        <f t="shared" si="50"/>
        <v>1000</v>
      </c>
    </row>
    <row r="162" spans="1:32" x14ac:dyDescent="0.3">
      <c r="A162" s="254"/>
      <c r="B162" s="261"/>
      <c r="C162" s="2" t="s">
        <v>30</v>
      </c>
      <c r="D162" s="3">
        <v>0</v>
      </c>
      <c r="E162" s="3"/>
      <c r="F162" s="3"/>
      <c r="G162" s="3"/>
      <c r="H162" s="3"/>
      <c r="I162" s="20"/>
      <c r="J162" s="20">
        <f t="shared" si="57"/>
        <v>0</v>
      </c>
      <c r="K162" s="20"/>
      <c r="L162" s="20"/>
      <c r="M162" s="20"/>
      <c r="N162" s="20"/>
      <c r="O162" s="20"/>
      <c r="P162" s="20">
        <f t="shared" si="58"/>
        <v>0</v>
      </c>
      <c r="Q162" s="20"/>
      <c r="R162" s="20"/>
      <c r="S162" s="20"/>
      <c r="T162" s="20"/>
      <c r="U162" s="20"/>
      <c r="V162" s="20">
        <f t="shared" si="59"/>
        <v>0</v>
      </c>
      <c r="W162" s="20"/>
      <c r="X162" s="20"/>
      <c r="Y162" s="20"/>
      <c r="Z162" s="20"/>
      <c r="AA162" s="20"/>
      <c r="AB162" s="20"/>
      <c r="AC162" s="20"/>
      <c r="AD162" s="20">
        <f t="shared" si="43"/>
        <v>0</v>
      </c>
      <c r="AE162" s="108">
        <v>0</v>
      </c>
      <c r="AF162" s="3">
        <f t="shared" si="50"/>
        <v>0</v>
      </c>
    </row>
    <row r="163" spans="1:32" x14ac:dyDescent="0.3">
      <c r="A163" s="254"/>
      <c r="B163" s="261"/>
      <c r="C163" s="6" t="s">
        <v>53</v>
      </c>
      <c r="D163" s="7">
        <f>SUM(D156:D162)</f>
        <v>7626475</v>
      </c>
      <c r="E163" s="7">
        <f t="shared" ref="E163:AE163" si="65">SUM(E156:E162)</f>
        <v>0</v>
      </c>
      <c r="F163" s="7">
        <f t="shared" si="65"/>
        <v>0</v>
      </c>
      <c r="G163" s="7">
        <f t="shared" si="65"/>
        <v>0</v>
      </c>
      <c r="H163" s="7">
        <f t="shared" si="65"/>
        <v>0</v>
      </c>
      <c r="I163" s="7">
        <f t="shared" si="65"/>
        <v>0</v>
      </c>
      <c r="J163" s="7">
        <f>SUM(J156:J162)</f>
        <v>7626475</v>
      </c>
      <c r="K163" s="7">
        <f t="shared" si="65"/>
        <v>0</v>
      </c>
      <c r="L163" s="7">
        <f t="shared" si="65"/>
        <v>0</v>
      </c>
      <c r="M163" s="7">
        <f t="shared" si="65"/>
        <v>0</v>
      </c>
      <c r="N163" s="7">
        <f t="shared" si="65"/>
        <v>0</v>
      </c>
      <c r="O163" s="7"/>
      <c r="P163" s="7">
        <f t="shared" si="58"/>
        <v>7626475</v>
      </c>
      <c r="Q163" s="7">
        <f>SUM(Q156:Q162)</f>
        <v>0</v>
      </c>
      <c r="R163" s="7">
        <f t="shared" ref="R163:AC163" si="66">SUM(R156:R162)</f>
        <v>0</v>
      </c>
      <c r="S163" s="7">
        <f t="shared" si="66"/>
        <v>0</v>
      </c>
      <c r="T163" s="7">
        <f t="shared" si="66"/>
        <v>0</v>
      </c>
      <c r="U163" s="7">
        <f t="shared" si="66"/>
        <v>0</v>
      </c>
      <c r="V163" s="7">
        <f t="shared" si="59"/>
        <v>7626475</v>
      </c>
      <c r="W163" s="7">
        <f t="shared" si="66"/>
        <v>0</v>
      </c>
      <c r="X163" s="7">
        <f t="shared" si="66"/>
        <v>0</v>
      </c>
      <c r="Y163" s="7">
        <f t="shared" si="66"/>
        <v>0</v>
      </c>
      <c r="Z163" s="7">
        <f t="shared" si="66"/>
        <v>0</v>
      </c>
      <c r="AA163" s="7">
        <f t="shared" si="66"/>
        <v>0</v>
      </c>
      <c r="AB163" s="7">
        <f t="shared" si="66"/>
        <v>0</v>
      </c>
      <c r="AC163" s="7">
        <f t="shared" si="66"/>
        <v>0</v>
      </c>
      <c r="AD163" s="7">
        <f t="shared" si="43"/>
        <v>7626475</v>
      </c>
      <c r="AE163" s="110">
        <f t="shared" si="65"/>
        <v>7434996</v>
      </c>
      <c r="AF163" s="110">
        <f t="shared" si="50"/>
        <v>191479</v>
      </c>
    </row>
    <row r="164" spans="1:32" x14ac:dyDescent="0.3">
      <c r="A164" s="254"/>
      <c r="B164" s="261"/>
      <c r="C164" s="82" t="s">
        <v>31</v>
      </c>
      <c r="D164" s="83">
        <v>1186120</v>
      </c>
      <c r="E164" s="83"/>
      <c r="F164" s="83"/>
      <c r="G164" s="83"/>
      <c r="H164" s="83"/>
      <c r="I164" s="191"/>
      <c r="J164" s="84">
        <f t="shared" ref="J164" si="67">SUM(D164:I164)</f>
        <v>1186120</v>
      </c>
      <c r="K164" s="84"/>
      <c r="L164" s="84"/>
      <c r="M164" s="84"/>
      <c r="N164" s="84"/>
      <c r="O164" s="84"/>
      <c r="P164" s="84">
        <f t="shared" si="58"/>
        <v>1186120</v>
      </c>
      <c r="Q164" s="84"/>
      <c r="R164" s="84"/>
      <c r="S164" s="84"/>
      <c r="T164" s="84"/>
      <c r="U164" s="84"/>
      <c r="V164" s="84">
        <f t="shared" si="59"/>
        <v>1186120</v>
      </c>
      <c r="W164" s="84"/>
      <c r="X164" s="84"/>
      <c r="Y164" s="84"/>
      <c r="Z164" s="84"/>
      <c r="AA164" s="84"/>
      <c r="AB164" s="84"/>
      <c r="AC164" s="84"/>
      <c r="AD164" s="84">
        <f t="shared" si="43"/>
        <v>1186120</v>
      </c>
      <c r="AE164" s="111">
        <v>1046670</v>
      </c>
      <c r="AF164" s="111">
        <f t="shared" si="50"/>
        <v>139450</v>
      </c>
    </row>
    <row r="165" spans="1:32" x14ac:dyDescent="0.3">
      <c r="A165" s="254"/>
      <c r="B165" s="261"/>
      <c r="C165" s="2" t="s">
        <v>32</v>
      </c>
      <c r="D165" s="3">
        <v>100000</v>
      </c>
      <c r="E165" s="3"/>
      <c r="F165" s="3"/>
      <c r="G165" s="3"/>
      <c r="H165" s="3"/>
      <c r="I165" s="20"/>
      <c r="J165" s="20">
        <f t="shared" ref="J165:J176" si="68">SUM(D165:I165)</f>
        <v>100000</v>
      </c>
      <c r="K165" s="20"/>
      <c r="L165" s="20"/>
      <c r="M165" s="20"/>
      <c r="N165" s="20"/>
      <c r="O165" s="20"/>
      <c r="P165" s="20">
        <f t="shared" si="58"/>
        <v>100000</v>
      </c>
      <c r="Q165" s="20"/>
      <c r="R165" s="20"/>
      <c r="S165" s="20"/>
      <c r="T165" s="20"/>
      <c r="U165" s="20"/>
      <c r="V165" s="20">
        <f t="shared" si="59"/>
        <v>100000</v>
      </c>
      <c r="W165" s="20">
        <v>-100000</v>
      </c>
      <c r="X165" s="20"/>
      <c r="Y165" s="20"/>
      <c r="Z165" s="20"/>
      <c r="AA165" s="20"/>
      <c r="AB165" s="20"/>
      <c r="AC165" s="20"/>
      <c r="AD165" s="20">
        <f t="shared" si="43"/>
        <v>0</v>
      </c>
      <c r="AE165" s="108">
        <v>0</v>
      </c>
      <c r="AF165" s="3">
        <f t="shared" si="50"/>
        <v>0</v>
      </c>
    </row>
    <row r="166" spans="1:32" x14ac:dyDescent="0.3">
      <c r="A166" s="254"/>
      <c r="B166" s="261"/>
      <c r="C166" s="2" t="s">
        <v>33</v>
      </c>
      <c r="D166" s="3">
        <v>180000</v>
      </c>
      <c r="E166" s="3"/>
      <c r="F166" s="3"/>
      <c r="G166" s="3"/>
      <c r="H166" s="3"/>
      <c r="I166" s="20"/>
      <c r="J166" s="20">
        <f t="shared" si="68"/>
        <v>180000</v>
      </c>
      <c r="K166" s="20"/>
      <c r="L166" s="20"/>
      <c r="M166" s="20"/>
      <c r="N166" s="20"/>
      <c r="O166" s="20"/>
      <c r="P166" s="20">
        <f t="shared" si="58"/>
        <v>180000</v>
      </c>
      <c r="Q166" s="20"/>
      <c r="R166" s="20"/>
      <c r="S166" s="20"/>
      <c r="T166" s="20"/>
      <c r="U166" s="20"/>
      <c r="V166" s="20">
        <f t="shared" si="59"/>
        <v>180000</v>
      </c>
      <c r="W166" s="20">
        <f>157088+16183</f>
        <v>173271</v>
      </c>
      <c r="X166" s="20"/>
      <c r="Y166" s="20"/>
      <c r="Z166" s="20"/>
      <c r="AA166" s="20"/>
      <c r="AB166" s="20"/>
      <c r="AC166" s="20"/>
      <c r="AD166" s="20">
        <f t="shared" si="43"/>
        <v>353271</v>
      </c>
      <c r="AE166" s="108">
        <v>353271</v>
      </c>
      <c r="AF166" s="3">
        <f t="shared" si="50"/>
        <v>0</v>
      </c>
    </row>
    <row r="167" spans="1:32" x14ac:dyDescent="0.3">
      <c r="A167" s="254"/>
      <c r="B167" s="261"/>
      <c r="C167" s="2" t="s">
        <v>34</v>
      </c>
      <c r="D167" s="3">
        <v>309093</v>
      </c>
      <c r="E167" s="3">
        <v>0</v>
      </c>
      <c r="F167" s="3"/>
      <c r="G167" s="3"/>
      <c r="H167" s="3"/>
      <c r="I167" s="20"/>
      <c r="J167" s="20">
        <f t="shared" si="68"/>
        <v>309093</v>
      </c>
      <c r="K167" s="20"/>
      <c r="L167" s="20"/>
      <c r="M167" s="20"/>
      <c r="N167" s="20"/>
      <c r="O167" s="20"/>
      <c r="P167" s="20">
        <f t="shared" si="58"/>
        <v>309093</v>
      </c>
      <c r="Q167" s="20"/>
      <c r="R167" s="20"/>
      <c r="S167" s="20"/>
      <c r="T167" s="20"/>
      <c r="U167" s="20"/>
      <c r="V167" s="20">
        <f t="shared" si="59"/>
        <v>309093</v>
      </c>
      <c r="W167" s="20">
        <f>-57088-16183</f>
        <v>-73271</v>
      </c>
      <c r="X167" s="20"/>
      <c r="Y167" s="20"/>
      <c r="Z167" s="20"/>
      <c r="AA167" s="20"/>
      <c r="AB167" s="20"/>
      <c r="AC167" s="20"/>
      <c r="AD167" s="20">
        <f t="shared" si="43"/>
        <v>235822</v>
      </c>
      <c r="AE167" s="108">
        <v>61711</v>
      </c>
      <c r="AF167" s="3">
        <f t="shared" si="50"/>
        <v>174111</v>
      </c>
    </row>
    <row r="168" spans="1:32" x14ac:dyDescent="0.3">
      <c r="A168" s="254"/>
      <c r="B168" s="261"/>
      <c r="C168" s="2" t="s">
        <v>35</v>
      </c>
      <c r="D168" s="3">
        <v>21227</v>
      </c>
      <c r="E168" s="3"/>
      <c r="F168" s="3"/>
      <c r="G168" s="3"/>
      <c r="H168" s="3"/>
      <c r="I168" s="20"/>
      <c r="J168" s="20">
        <f>D168</f>
        <v>21227</v>
      </c>
      <c r="K168" s="20"/>
      <c r="L168" s="20"/>
      <c r="M168" s="20"/>
      <c r="N168" s="20"/>
      <c r="O168" s="20"/>
      <c r="P168" s="20">
        <f t="shared" si="58"/>
        <v>21227</v>
      </c>
      <c r="Q168" s="20"/>
      <c r="R168" s="20"/>
      <c r="S168" s="20"/>
      <c r="T168" s="20"/>
      <c r="U168" s="20"/>
      <c r="V168" s="20">
        <f t="shared" si="59"/>
        <v>21227</v>
      </c>
      <c r="W168" s="20"/>
      <c r="X168" s="20"/>
      <c r="Y168" s="20"/>
      <c r="Z168" s="20"/>
      <c r="AA168" s="20"/>
      <c r="AB168" s="20"/>
      <c r="AC168" s="20"/>
      <c r="AD168" s="20">
        <f t="shared" si="43"/>
        <v>21227</v>
      </c>
      <c r="AE168" s="108">
        <v>8230</v>
      </c>
      <c r="AF168" s="3">
        <f t="shared" si="50"/>
        <v>12997</v>
      </c>
    </row>
    <row r="169" spans="1:32" x14ac:dyDescent="0.3">
      <c r="A169" s="254"/>
      <c r="B169" s="261"/>
      <c r="C169" s="2" t="s">
        <v>195</v>
      </c>
      <c r="D169" s="3">
        <v>114742</v>
      </c>
      <c r="E169" s="3"/>
      <c r="F169" s="3"/>
      <c r="G169" s="3"/>
      <c r="H169" s="3"/>
      <c r="I169" s="20"/>
      <c r="J169" s="20">
        <f>D169</f>
        <v>114742</v>
      </c>
      <c r="K169" s="20"/>
      <c r="L169" s="20"/>
      <c r="M169" s="20"/>
      <c r="N169" s="20"/>
      <c r="O169" s="20"/>
      <c r="P169" s="20">
        <f t="shared" si="58"/>
        <v>114742</v>
      </c>
      <c r="Q169" s="20"/>
      <c r="R169" s="20"/>
      <c r="S169" s="20"/>
      <c r="T169" s="20"/>
      <c r="U169" s="20"/>
      <c r="V169" s="20">
        <f t="shared" si="59"/>
        <v>114742</v>
      </c>
      <c r="W169" s="20"/>
      <c r="X169" s="20"/>
      <c r="Y169" s="20"/>
      <c r="Z169" s="20"/>
      <c r="AA169" s="20"/>
      <c r="AB169" s="20"/>
      <c r="AC169" s="20"/>
      <c r="AD169" s="20">
        <f t="shared" si="43"/>
        <v>114742</v>
      </c>
      <c r="AE169" s="108">
        <v>91076</v>
      </c>
      <c r="AF169" s="3">
        <f t="shared" si="50"/>
        <v>23666</v>
      </c>
    </row>
    <row r="170" spans="1:32" x14ac:dyDescent="0.3">
      <c r="A170" s="254"/>
      <c r="B170" s="261"/>
      <c r="C170" s="2" t="s">
        <v>196</v>
      </c>
      <c r="D170" s="3">
        <v>2250</v>
      </c>
      <c r="E170" s="3"/>
      <c r="F170" s="3"/>
      <c r="G170" s="3"/>
      <c r="H170" s="3"/>
      <c r="I170" s="20"/>
      <c r="J170" s="20">
        <f>D170</f>
        <v>2250</v>
      </c>
      <c r="K170" s="20">
        <v>2500</v>
      </c>
      <c r="L170" s="20"/>
      <c r="M170" s="20"/>
      <c r="N170" s="20"/>
      <c r="O170" s="20"/>
      <c r="P170" s="20">
        <f t="shared" si="58"/>
        <v>4750</v>
      </c>
      <c r="Q170" s="20"/>
      <c r="R170" s="20"/>
      <c r="S170" s="20"/>
      <c r="T170" s="20"/>
      <c r="U170" s="20"/>
      <c r="V170" s="20">
        <f t="shared" si="59"/>
        <v>4750</v>
      </c>
      <c r="W170" s="20"/>
      <c r="X170" s="20"/>
      <c r="Y170" s="20"/>
      <c r="Z170" s="20"/>
      <c r="AA170" s="20"/>
      <c r="AB170" s="20"/>
      <c r="AC170" s="20"/>
      <c r="AD170" s="20">
        <f t="shared" si="43"/>
        <v>4750</v>
      </c>
      <c r="AE170" s="108">
        <v>3854</v>
      </c>
      <c r="AF170" s="3">
        <f t="shared" si="50"/>
        <v>896</v>
      </c>
    </row>
    <row r="171" spans="1:32" x14ac:dyDescent="0.3">
      <c r="A171" s="254"/>
      <c r="B171" s="261"/>
      <c r="C171" s="2" t="s">
        <v>38</v>
      </c>
      <c r="D171" s="3">
        <v>0</v>
      </c>
      <c r="E171" s="3">
        <v>0</v>
      </c>
      <c r="F171" s="3"/>
      <c r="G171" s="3"/>
      <c r="H171" s="3"/>
      <c r="I171" s="20"/>
      <c r="J171" s="20">
        <f t="shared" si="68"/>
        <v>0</v>
      </c>
      <c r="K171" s="20"/>
      <c r="L171" s="20"/>
      <c r="M171" s="20"/>
      <c r="N171" s="20"/>
      <c r="O171" s="20"/>
      <c r="P171" s="20">
        <f t="shared" si="58"/>
        <v>0</v>
      </c>
      <c r="Q171" s="20"/>
      <c r="R171" s="20"/>
      <c r="S171" s="20"/>
      <c r="T171" s="20"/>
      <c r="U171" s="20"/>
      <c r="V171" s="20">
        <f t="shared" si="59"/>
        <v>0</v>
      </c>
      <c r="W171" s="20"/>
      <c r="X171" s="20"/>
      <c r="Y171" s="20"/>
      <c r="Z171" s="20"/>
      <c r="AA171" s="20"/>
      <c r="AB171" s="20"/>
      <c r="AC171" s="20"/>
      <c r="AD171" s="20">
        <f t="shared" si="43"/>
        <v>0</v>
      </c>
      <c r="AE171" s="108">
        <v>0</v>
      </c>
      <c r="AF171" s="3">
        <f t="shared" si="50"/>
        <v>0</v>
      </c>
    </row>
    <row r="172" spans="1:32" x14ac:dyDescent="0.3">
      <c r="A172" s="254"/>
      <c r="B172" s="261"/>
      <c r="C172" s="2" t="s">
        <v>40</v>
      </c>
      <c r="D172" s="3">
        <v>18700</v>
      </c>
      <c r="E172" s="3"/>
      <c r="F172" s="3"/>
      <c r="G172" s="3"/>
      <c r="H172" s="3"/>
      <c r="I172" s="20"/>
      <c r="J172" s="20">
        <f t="shared" si="68"/>
        <v>18700</v>
      </c>
      <c r="K172" s="20"/>
      <c r="L172" s="20"/>
      <c r="M172" s="20"/>
      <c r="N172" s="20"/>
      <c r="O172" s="20"/>
      <c r="P172" s="20">
        <f t="shared" si="58"/>
        <v>18700</v>
      </c>
      <c r="Q172" s="20"/>
      <c r="R172" s="20"/>
      <c r="S172" s="20"/>
      <c r="T172" s="20"/>
      <c r="U172" s="20"/>
      <c r="V172" s="20">
        <f t="shared" si="59"/>
        <v>18700</v>
      </c>
      <c r="W172" s="20"/>
      <c r="X172" s="20"/>
      <c r="Y172" s="20"/>
      <c r="Z172" s="20"/>
      <c r="AA172" s="20"/>
      <c r="AB172" s="20"/>
      <c r="AC172" s="20"/>
      <c r="AD172" s="20">
        <f t="shared" si="43"/>
        <v>18700</v>
      </c>
      <c r="AE172" s="108">
        <v>18700</v>
      </c>
      <c r="AF172" s="3">
        <f t="shared" si="50"/>
        <v>0</v>
      </c>
    </row>
    <row r="173" spans="1:32" x14ac:dyDescent="0.3">
      <c r="A173" s="254"/>
      <c r="B173" s="261"/>
      <c r="C173" s="2" t="s">
        <v>41</v>
      </c>
      <c r="D173" s="3">
        <v>188538</v>
      </c>
      <c r="E173" s="3"/>
      <c r="F173" s="3"/>
      <c r="G173" s="3"/>
      <c r="H173" s="3"/>
      <c r="I173" s="20"/>
      <c r="J173" s="20">
        <f t="shared" si="68"/>
        <v>188538</v>
      </c>
      <c r="K173" s="20">
        <v>-2500</v>
      </c>
      <c r="L173" s="20"/>
      <c r="M173" s="20"/>
      <c r="N173" s="20"/>
      <c r="O173" s="20"/>
      <c r="P173" s="20">
        <f t="shared" si="58"/>
        <v>186038</v>
      </c>
      <c r="Q173" s="20"/>
      <c r="R173" s="20"/>
      <c r="S173" s="20"/>
      <c r="T173" s="20"/>
      <c r="U173" s="20"/>
      <c r="V173" s="20">
        <f t="shared" si="59"/>
        <v>186038</v>
      </c>
      <c r="W173" s="20"/>
      <c r="X173" s="20"/>
      <c r="Y173" s="20"/>
      <c r="Z173" s="20"/>
      <c r="AA173" s="20"/>
      <c r="AB173" s="20"/>
      <c r="AC173" s="20"/>
      <c r="AD173" s="20">
        <f t="shared" si="43"/>
        <v>186038</v>
      </c>
      <c r="AE173" s="108">
        <v>179399</v>
      </c>
      <c r="AF173" s="3">
        <f t="shared" si="50"/>
        <v>6639</v>
      </c>
    </row>
    <row r="174" spans="1:32" x14ac:dyDescent="0.3">
      <c r="A174" s="254"/>
      <c r="B174" s="261"/>
      <c r="C174" s="2" t="s">
        <v>42</v>
      </c>
      <c r="D174" s="3">
        <v>150000</v>
      </c>
      <c r="E174" s="3"/>
      <c r="F174" s="3"/>
      <c r="G174" s="3"/>
      <c r="H174" s="3"/>
      <c r="I174" s="20"/>
      <c r="J174" s="20">
        <f t="shared" si="68"/>
        <v>150000</v>
      </c>
      <c r="K174" s="20"/>
      <c r="L174" s="20"/>
      <c r="M174" s="20"/>
      <c r="N174" s="20"/>
      <c r="O174" s="20"/>
      <c r="P174" s="20">
        <f t="shared" si="58"/>
        <v>150000</v>
      </c>
      <c r="Q174" s="20"/>
      <c r="R174" s="20"/>
      <c r="S174" s="20"/>
      <c r="T174" s="20"/>
      <c r="U174" s="20"/>
      <c r="V174" s="20">
        <f t="shared" si="59"/>
        <v>150000</v>
      </c>
      <c r="W174" s="20"/>
      <c r="X174" s="20"/>
      <c r="Y174" s="20"/>
      <c r="Z174" s="20"/>
      <c r="AA174" s="20"/>
      <c r="AB174" s="20"/>
      <c r="AC174" s="20"/>
      <c r="AD174" s="20">
        <f t="shared" si="43"/>
        <v>150000</v>
      </c>
      <c r="AE174" s="108">
        <v>8288</v>
      </c>
      <c r="AF174" s="3">
        <f t="shared" si="50"/>
        <v>141712</v>
      </c>
    </row>
    <row r="175" spans="1:32" x14ac:dyDescent="0.3">
      <c r="A175" s="254"/>
      <c r="B175" s="261"/>
      <c r="C175" s="2" t="s">
        <v>44</v>
      </c>
      <c r="D175" s="3">
        <v>200548</v>
      </c>
      <c r="E175" s="3"/>
      <c r="F175" s="3"/>
      <c r="G175" s="3"/>
      <c r="H175" s="3"/>
      <c r="I175" s="20"/>
      <c r="J175" s="20">
        <f t="shared" si="68"/>
        <v>200548</v>
      </c>
      <c r="K175" s="20"/>
      <c r="L175" s="20"/>
      <c r="M175" s="20"/>
      <c r="N175" s="20"/>
      <c r="O175" s="20"/>
      <c r="P175" s="20">
        <f t="shared" si="58"/>
        <v>200548</v>
      </c>
      <c r="Q175" s="20"/>
      <c r="R175" s="20"/>
      <c r="S175" s="20"/>
      <c r="T175" s="20"/>
      <c r="U175" s="20"/>
      <c r="V175" s="20">
        <f t="shared" si="59"/>
        <v>200548</v>
      </c>
      <c r="W175" s="20"/>
      <c r="X175" s="20"/>
      <c r="Y175" s="20"/>
      <c r="Z175" s="20"/>
      <c r="AA175" s="20"/>
      <c r="AB175" s="20"/>
      <c r="AC175" s="20"/>
      <c r="AD175" s="20">
        <f t="shared" si="43"/>
        <v>200548</v>
      </c>
      <c r="AE175" s="108">
        <v>139452</v>
      </c>
      <c r="AF175" s="3">
        <f t="shared" si="50"/>
        <v>61096</v>
      </c>
    </row>
    <row r="176" spans="1:32" x14ac:dyDescent="0.3">
      <c r="A176" s="254"/>
      <c r="B176" s="261"/>
      <c r="C176" s="2" t="s">
        <v>45</v>
      </c>
      <c r="D176" s="3">
        <v>4267</v>
      </c>
      <c r="E176" s="3"/>
      <c r="F176" s="3"/>
      <c r="G176" s="3"/>
      <c r="H176" s="3"/>
      <c r="I176" s="20"/>
      <c r="J176" s="20">
        <f t="shared" si="68"/>
        <v>4267</v>
      </c>
      <c r="K176" s="20"/>
      <c r="L176" s="20"/>
      <c r="M176" s="20"/>
      <c r="N176" s="20"/>
      <c r="O176" s="20"/>
      <c r="P176" s="20">
        <f t="shared" si="58"/>
        <v>4267</v>
      </c>
      <c r="Q176" s="20"/>
      <c r="R176" s="20"/>
      <c r="S176" s="20"/>
      <c r="T176" s="20"/>
      <c r="U176" s="20"/>
      <c r="V176" s="20">
        <f t="shared" si="59"/>
        <v>4267</v>
      </c>
      <c r="W176" s="20"/>
      <c r="X176" s="20"/>
      <c r="Y176" s="20"/>
      <c r="Z176" s="20"/>
      <c r="AA176" s="20"/>
      <c r="AB176" s="20"/>
      <c r="AC176" s="20"/>
      <c r="AD176" s="20">
        <f t="shared" si="43"/>
        <v>4267</v>
      </c>
      <c r="AE176" s="108">
        <v>3648</v>
      </c>
      <c r="AF176" s="3">
        <f t="shared" si="50"/>
        <v>619</v>
      </c>
    </row>
    <row r="177" spans="1:32" x14ac:dyDescent="0.3">
      <c r="A177" s="254"/>
      <c r="B177" s="261"/>
      <c r="C177" s="6" t="s">
        <v>49</v>
      </c>
      <c r="D177" s="7">
        <f>SUM(D165:D176)</f>
        <v>1289365</v>
      </c>
      <c r="E177" s="7">
        <f t="shared" ref="E177:N177" si="69">SUM(E165:E175)</f>
        <v>0</v>
      </c>
      <c r="F177" s="7">
        <f t="shared" si="69"/>
        <v>0</v>
      </c>
      <c r="G177" s="7">
        <f t="shared" si="69"/>
        <v>0</v>
      </c>
      <c r="H177" s="7">
        <f t="shared" si="69"/>
        <v>0</v>
      </c>
      <c r="I177" s="7">
        <f t="shared" si="69"/>
        <v>0</v>
      </c>
      <c r="J177" s="7">
        <f>SUM(J165:J176)</f>
        <v>1289365</v>
      </c>
      <c r="K177" s="7">
        <f t="shared" si="69"/>
        <v>0</v>
      </c>
      <c r="L177" s="7">
        <f t="shared" si="69"/>
        <v>0</v>
      </c>
      <c r="M177" s="7">
        <f t="shared" si="69"/>
        <v>0</v>
      </c>
      <c r="N177" s="7">
        <f t="shared" si="69"/>
        <v>0</v>
      </c>
      <c r="O177" s="7"/>
      <c r="P177" s="7">
        <f t="shared" si="58"/>
        <v>1289365</v>
      </c>
      <c r="Q177" s="7">
        <f>SUM(Q165:Q175)</f>
        <v>0</v>
      </c>
      <c r="R177" s="7">
        <f t="shared" ref="R177:AC177" si="70">SUM(R165:R175)</f>
        <v>0</v>
      </c>
      <c r="S177" s="7">
        <f t="shared" si="70"/>
        <v>0</v>
      </c>
      <c r="T177" s="7">
        <f t="shared" si="70"/>
        <v>0</v>
      </c>
      <c r="U177" s="7">
        <f t="shared" si="70"/>
        <v>0</v>
      </c>
      <c r="V177" s="7">
        <f t="shared" si="59"/>
        <v>1289365</v>
      </c>
      <c r="W177" s="7">
        <f t="shared" si="70"/>
        <v>0</v>
      </c>
      <c r="X177" s="7">
        <f t="shared" si="70"/>
        <v>0</v>
      </c>
      <c r="Y177" s="7">
        <f t="shared" si="70"/>
        <v>0</v>
      </c>
      <c r="Z177" s="7">
        <f t="shared" si="70"/>
        <v>0</v>
      </c>
      <c r="AA177" s="7">
        <f t="shared" si="70"/>
        <v>0</v>
      </c>
      <c r="AB177" s="7">
        <f t="shared" si="70"/>
        <v>0</v>
      </c>
      <c r="AC177" s="7">
        <f t="shared" si="70"/>
        <v>0</v>
      </c>
      <c r="AD177" s="7">
        <f t="shared" si="43"/>
        <v>1289365</v>
      </c>
      <c r="AE177" s="110">
        <f>SUM(AE165:AE176)</f>
        <v>867629</v>
      </c>
      <c r="AF177" s="110">
        <f t="shared" si="50"/>
        <v>421736</v>
      </c>
    </row>
    <row r="178" spans="1:32" x14ac:dyDescent="0.3">
      <c r="A178" s="262" t="s">
        <v>186</v>
      </c>
      <c r="B178" s="264" t="s">
        <v>23</v>
      </c>
      <c r="C178" s="15" t="s">
        <v>24</v>
      </c>
      <c r="D178" s="24">
        <v>2128000</v>
      </c>
      <c r="E178" s="11"/>
      <c r="F178" s="208"/>
      <c r="G178" s="187"/>
      <c r="H178" s="11"/>
      <c r="I178" s="192"/>
      <c r="J178" s="20">
        <f t="shared" ref="J178:J179" si="71">SUM(D178:I178)</f>
        <v>2128000</v>
      </c>
      <c r="K178" s="20"/>
      <c r="L178" s="20"/>
      <c r="M178" s="20"/>
      <c r="N178" s="20"/>
      <c r="O178" s="20"/>
      <c r="P178" s="20">
        <f t="shared" si="58"/>
        <v>2128000</v>
      </c>
      <c r="Q178" s="20"/>
      <c r="R178" s="20">
        <v>-455388</v>
      </c>
      <c r="S178" s="20"/>
      <c r="T178" s="20"/>
      <c r="U178" s="20"/>
      <c r="V178" s="20">
        <f t="shared" si="59"/>
        <v>1672612</v>
      </c>
      <c r="W178" s="20"/>
      <c r="X178" s="20"/>
      <c r="Y178" s="20"/>
      <c r="Z178" s="20">
        <v>-743</v>
      </c>
      <c r="AA178" s="20"/>
      <c r="AB178" s="20"/>
      <c r="AC178" s="20"/>
      <c r="AD178" s="20">
        <f t="shared" si="43"/>
        <v>1671869</v>
      </c>
      <c r="AE178" s="108">
        <v>1671869</v>
      </c>
      <c r="AF178" s="3">
        <f t="shared" si="50"/>
        <v>0</v>
      </c>
    </row>
    <row r="179" spans="1:32" x14ac:dyDescent="0.3">
      <c r="A179" s="263"/>
      <c r="B179" s="265"/>
      <c r="C179" s="15" t="s">
        <v>31</v>
      </c>
      <c r="D179" s="24">
        <v>276640</v>
      </c>
      <c r="E179" s="11"/>
      <c r="F179" s="208"/>
      <c r="G179" s="187"/>
      <c r="H179" s="11"/>
      <c r="I179" s="192"/>
      <c r="J179" s="20">
        <f t="shared" si="71"/>
        <v>276640</v>
      </c>
      <c r="K179" s="20"/>
      <c r="L179" s="20"/>
      <c r="M179" s="20"/>
      <c r="N179" s="20"/>
      <c r="O179" s="20"/>
      <c r="P179" s="20">
        <f t="shared" si="58"/>
        <v>276640</v>
      </c>
      <c r="Q179" s="20"/>
      <c r="R179" s="20">
        <v>-59201</v>
      </c>
      <c r="S179" s="20"/>
      <c r="T179" s="20"/>
      <c r="U179" s="20"/>
      <c r="V179" s="20">
        <f t="shared" si="59"/>
        <v>217439</v>
      </c>
      <c r="W179" s="20"/>
      <c r="X179" s="20"/>
      <c r="Y179" s="20"/>
      <c r="Z179" s="20">
        <v>-97</v>
      </c>
      <c r="AA179" s="20"/>
      <c r="AB179" s="20"/>
      <c r="AC179" s="20"/>
      <c r="AD179" s="20">
        <f t="shared" si="43"/>
        <v>217342</v>
      </c>
      <c r="AE179" s="108">
        <v>217342</v>
      </c>
      <c r="AF179" s="3">
        <f t="shared" si="50"/>
        <v>0</v>
      </c>
    </row>
    <row r="180" spans="1:32" x14ac:dyDescent="0.3">
      <c r="A180" s="319" t="s">
        <v>188</v>
      </c>
      <c r="B180" s="320"/>
      <c r="C180" s="321"/>
      <c r="D180" s="80">
        <f>SUM(D163+D164+D177+D178+D179)</f>
        <v>12506600</v>
      </c>
      <c r="E180" s="80">
        <f t="shared" ref="E180:AE180" si="72">SUM(E163+E164+E177+E178+E179)</f>
        <v>0</v>
      </c>
      <c r="F180" s="80">
        <f t="shared" si="72"/>
        <v>0</v>
      </c>
      <c r="G180" s="80">
        <f t="shared" si="72"/>
        <v>0</v>
      </c>
      <c r="H180" s="80">
        <f t="shared" si="72"/>
        <v>0</v>
      </c>
      <c r="I180" s="80">
        <f t="shared" si="72"/>
        <v>0</v>
      </c>
      <c r="J180" s="80">
        <f t="shared" si="72"/>
        <v>12506600</v>
      </c>
      <c r="K180" s="80">
        <f t="shared" si="72"/>
        <v>0</v>
      </c>
      <c r="L180" s="80">
        <f t="shared" si="72"/>
        <v>0</v>
      </c>
      <c r="M180" s="80">
        <f t="shared" si="72"/>
        <v>0</v>
      </c>
      <c r="N180" s="80">
        <f t="shared" si="72"/>
        <v>0</v>
      </c>
      <c r="O180" s="80"/>
      <c r="P180" s="80">
        <f t="shared" si="58"/>
        <v>12506600</v>
      </c>
      <c r="Q180" s="80">
        <f t="shared" si="72"/>
        <v>0</v>
      </c>
      <c r="R180" s="80">
        <f t="shared" si="72"/>
        <v>-514589</v>
      </c>
      <c r="S180" s="80">
        <f t="shared" si="72"/>
        <v>0</v>
      </c>
      <c r="T180" s="80">
        <f t="shared" si="72"/>
        <v>0</v>
      </c>
      <c r="U180" s="80">
        <f t="shared" si="72"/>
        <v>0</v>
      </c>
      <c r="V180" s="80">
        <f t="shared" si="59"/>
        <v>11992011</v>
      </c>
      <c r="W180" s="80">
        <f t="shared" si="72"/>
        <v>0</v>
      </c>
      <c r="X180" s="80">
        <f t="shared" si="72"/>
        <v>0</v>
      </c>
      <c r="Y180" s="80">
        <f t="shared" si="72"/>
        <v>0</v>
      </c>
      <c r="Z180" s="80">
        <f t="shared" si="72"/>
        <v>-840</v>
      </c>
      <c r="AA180" s="80">
        <f t="shared" si="72"/>
        <v>0</v>
      </c>
      <c r="AB180" s="80">
        <f t="shared" si="72"/>
        <v>0</v>
      </c>
      <c r="AC180" s="80">
        <f t="shared" si="72"/>
        <v>0</v>
      </c>
      <c r="AD180" s="80">
        <f t="shared" si="43"/>
        <v>11991171</v>
      </c>
      <c r="AE180" s="112">
        <f t="shared" si="72"/>
        <v>11238506</v>
      </c>
      <c r="AF180" s="112">
        <f t="shared" si="50"/>
        <v>752665</v>
      </c>
    </row>
    <row r="181" spans="1:32" x14ac:dyDescent="0.3">
      <c r="A181" s="254" t="s">
        <v>55</v>
      </c>
      <c r="B181" s="261" t="s">
        <v>23</v>
      </c>
      <c r="C181" s="10" t="s">
        <v>24</v>
      </c>
      <c r="D181" s="24">
        <v>7441125</v>
      </c>
      <c r="E181" s="187"/>
      <c r="F181" s="11"/>
      <c r="G181" s="211"/>
      <c r="H181" s="11"/>
      <c r="I181" s="192"/>
      <c r="J181" s="20">
        <f t="shared" ref="J181:J186" si="73">SUM(D181:I181)</f>
        <v>7441125</v>
      </c>
      <c r="K181" s="20"/>
      <c r="L181" s="20"/>
      <c r="M181" s="20"/>
      <c r="N181" s="20"/>
      <c r="O181" s="20"/>
      <c r="P181" s="20">
        <f t="shared" si="58"/>
        <v>7441125</v>
      </c>
      <c r="Q181" s="20">
        <v>20000</v>
      </c>
      <c r="R181" s="20"/>
      <c r="S181" s="20"/>
      <c r="T181" s="20"/>
      <c r="U181" s="20"/>
      <c r="V181" s="20">
        <f t="shared" si="59"/>
        <v>7461125</v>
      </c>
      <c r="W181" s="20">
        <v>-2347</v>
      </c>
      <c r="X181" s="20"/>
      <c r="Y181" s="20"/>
      <c r="Z181" s="20"/>
      <c r="AA181" s="20">
        <v>-984</v>
      </c>
      <c r="AB181" s="20"/>
      <c r="AC181" s="20"/>
      <c r="AD181" s="20">
        <f t="shared" si="43"/>
        <v>7457794</v>
      </c>
      <c r="AE181" s="108">
        <v>7457794</v>
      </c>
      <c r="AF181" s="3">
        <f t="shared" si="50"/>
        <v>0</v>
      </c>
    </row>
    <row r="182" spans="1:32" x14ac:dyDescent="0.3">
      <c r="A182" s="254"/>
      <c r="B182" s="261"/>
      <c r="C182" s="10" t="s">
        <v>25</v>
      </c>
      <c r="D182" s="24">
        <v>200000</v>
      </c>
      <c r="E182" s="187"/>
      <c r="F182" s="11"/>
      <c r="G182" s="11"/>
      <c r="H182" s="11"/>
      <c r="I182" s="192"/>
      <c r="J182" s="20">
        <f t="shared" si="73"/>
        <v>200000</v>
      </c>
      <c r="K182" s="20"/>
      <c r="L182" s="20"/>
      <c r="M182" s="20"/>
      <c r="N182" s="20"/>
      <c r="O182" s="20"/>
      <c r="P182" s="20">
        <f t="shared" si="58"/>
        <v>200000</v>
      </c>
      <c r="Q182" s="20">
        <v>80000</v>
      </c>
      <c r="R182" s="20"/>
      <c r="S182" s="20"/>
      <c r="T182" s="20"/>
      <c r="U182" s="20"/>
      <c r="V182" s="20">
        <f t="shared" si="59"/>
        <v>280000</v>
      </c>
      <c r="W182" s="20"/>
      <c r="X182" s="20"/>
      <c r="Y182" s="20"/>
      <c r="Z182" s="20"/>
      <c r="AA182" s="20"/>
      <c r="AB182" s="20"/>
      <c r="AC182" s="20"/>
      <c r="AD182" s="20">
        <f t="shared" si="43"/>
        <v>280000</v>
      </c>
      <c r="AE182" s="207">
        <v>280000</v>
      </c>
      <c r="AF182" s="3">
        <f t="shared" si="50"/>
        <v>0</v>
      </c>
    </row>
    <row r="183" spans="1:32" x14ac:dyDescent="0.3">
      <c r="A183" s="254"/>
      <c r="B183" s="261"/>
      <c r="C183" s="10" t="s">
        <v>26</v>
      </c>
      <c r="D183" s="24">
        <v>13350</v>
      </c>
      <c r="E183" s="187"/>
      <c r="F183" s="11"/>
      <c r="G183" s="11"/>
      <c r="H183" s="11"/>
      <c r="I183" s="192"/>
      <c r="J183" s="20">
        <f t="shared" si="73"/>
        <v>13350</v>
      </c>
      <c r="K183" s="20"/>
      <c r="L183" s="20"/>
      <c r="M183" s="20"/>
      <c r="N183" s="20"/>
      <c r="O183" s="20"/>
      <c r="P183" s="20">
        <f t="shared" si="58"/>
        <v>13350</v>
      </c>
      <c r="Q183" s="20"/>
      <c r="R183" s="20"/>
      <c r="S183" s="20"/>
      <c r="T183" s="20"/>
      <c r="U183" s="20"/>
      <c r="V183" s="20">
        <f t="shared" si="59"/>
        <v>13350</v>
      </c>
      <c r="W183" s="20"/>
      <c r="X183" s="20"/>
      <c r="Y183" s="20"/>
      <c r="Z183" s="20"/>
      <c r="AA183" s="20"/>
      <c r="AB183" s="20"/>
      <c r="AC183" s="20"/>
      <c r="AD183" s="20">
        <f t="shared" si="43"/>
        <v>13350</v>
      </c>
      <c r="AE183" s="108">
        <v>13350</v>
      </c>
      <c r="AF183" s="3">
        <f t="shared" si="50"/>
        <v>0</v>
      </c>
    </row>
    <row r="184" spans="1:32" x14ac:dyDescent="0.3">
      <c r="A184" s="254"/>
      <c r="B184" s="261"/>
      <c r="C184" s="10" t="s">
        <v>28</v>
      </c>
      <c r="D184" s="24">
        <v>24000</v>
      </c>
      <c r="E184" s="187"/>
      <c r="F184" s="11"/>
      <c r="G184" s="11"/>
      <c r="H184" s="11"/>
      <c r="I184" s="192"/>
      <c r="J184" s="20">
        <f t="shared" si="73"/>
        <v>24000</v>
      </c>
      <c r="K184" s="20"/>
      <c r="L184" s="20"/>
      <c r="M184" s="20"/>
      <c r="N184" s="20"/>
      <c r="O184" s="20"/>
      <c r="P184" s="20">
        <f t="shared" si="58"/>
        <v>24000</v>
      </c>
      <c r="Q184" s="20">
        <v>-24000</v>
      </c>
      <c r="R184" s="20"/>
      <c r="S184" s="20"/>
      <c r="T184" s="20"/>
      <c r="U184" s="20"/>
      <c r="V184" s="20">
        <f t="shared" si="59"/>
        <v>0</v>
      </c>
      <c r="W184" s="20"/>
      <c r="X184" s="20"/>
      <c r="Y184" s="20"/>
      <c r="Z184" s="20"/>
      <c r="AA184" s="20"/>
      <c r="AB184" s="20"/>
      <c r="AC184" s="20"/>
      <c r="AD184" s="20">
        <f t="shared" ref="AD184:AD254" si="74">SUM(V184:AC184)</f>
        <v>0</v>
      </c>
      <c r="AE184" s="108">
        <v>0</v>
      </c>
      <c r="AF184" s="3">
        <f t="shared" si="50"/>
        <v>0</v>
      </c>
    </row>
    <row r="185" spans="1:32" x14ac:dyDescent="0.3">
      <c r="A185" s="254"/>
      <c r="B185" s="261"/>
      <c r="C185" s="10" t="s">
        <v>29</v>
      </c>
      <c r="D185" s="24">
        <v>0</v>
      </c>
      <c r="E185" s="187"/>
      <c r="F185" s="11"/>
      <c r="G185" s="11"/>
      <c r="H185" s="11"/>
      <c r="I185" s="192"/>
      <c r="J185" s="20">
        <f t="shared" si="73"/>
        <v>0</v>
      </c>
      <c r="K185" s="20"/>
      <c r="L185" s="20"/>
      <c r="M185" s="20"/>
      <c r="N185" s="20"/>
      <c r="O185" s="20"/>
      <c r="P185" s="20">
        <f t="shared" si="58"/>
        <v>0</v>
      </c>
      <c r="Q185" s="20">
        <v>24000</v>
      </c>
      <c r="R185" s="20"/>
      <c r="S185" s="20"/>
      <c r="T185" s="20"/>
      <c r="U185" s="20"/>
      <c r="V185" s="20">
        <f t="shared" si="59"/>
        <v>24000</v>
      </c>
      <c r="W185" s="20"/>
      <c r="X185" s="20"/>
      <c r="Y185" s="20"/>
      <c r="Z185" s="20"/>
      <c r="AA185" s="20"/>
      <c r="AB185" s="20"/>
      <c r="AC185" s="20"/>
      <c r="AD185" s="20">
        <f t="shared" si="74"/>
        <v>24000</v>
      </c>
      <c r="AE185" s="108">
        <v>24000</v>
      </c>
      <c r="AF185" s="3">
        <f t="shared" si="50"/>
        <v>0</v>
      </c>
    </row>
    <row r="186" spans="1:32" x14ac:dyDescent="0.3">
      <c r="A186" s="254"/>
      <c r="B186" s="261"/>
      <c r="C186" s="10" t="s">
        <v>30</v>
      </c>
      <c r="D186" s="24">
        <v>0</v>
      </c>
      <c r="E186" s="187"/>
      <c r="F186" s="11"/>
      <c r="G186" s="11"/>
      <c r="H186" s="11"/>
      <c r="I186" s="192"/>
      <c r="J186" s="20">
        <f t="shared" si="73"/>
        <v>0</v>
      </c>
      <c r="K186" s="20"/>
      <c r="L186" s="20"/>
      <c r="M186" s="20"/>
      <c r="N186" s="20"/>
      <c r="O186" s="20"/>
      <c r="P186" s="20">
        <f t="shared" si="58"/>
        <v>0</v>
      </c>
      <c r="Q186" s="20"/>
      <c r="R186" s="20"/>
      <c r="S186" s="20"/>
      <c r="T186" s="20"/>
      <c r="U186" s="20"/>
      <c r="V186" s="20">
        <f t="shared" si="59"/>
        <v>0</v>
      </c>
      <c r="W186" s="20"/>
      <c r="X186" s="20"/>
      <c r="Y186" s="20"/>
      <c r="Z186" s="20"/>
      <c r="AA186" s="20"/>
      <c r="AB186" s="20"/>
      <c r="AC186" s="20"/>
      <c r="AD186" s="20">
        <f t="shared" si="74"/>
        <v>0</v>
      </c>
      <c r="AE186" s="108">
        <v>0</v>
      </c>
      <c r="AF186" s="3">
        <f t="shared" si="50"/>
        <v>0</v>
      </c>
    </row>
    <row r="187" spans="1:32" x14ac:dyDescent="0.3">
      <c r="A187" s="254"/>
      <c r="B187" s="261"/>
      <c r="C187" s="6" t="s">
        <v>53</v>
      </c>
      <c r="D187" s="7">
        <f>SUM(D181:D186)</f>
        <v>7678475</v>
      </c>
      <c r="E187" s="7">
        <f t="shared" ref="E187:AE187" si="75">SUM(E181:E186)</f>
        <v>0</v>
      </c>
      <c r="F187" s="7">
        <f t="shared" si="75"/>
        <v>0</v>
      </c>
      <c r="G187" s="7">
        <f t="shared" si="75"/>
        <v>0</v>
      </c>
      <c r="H187" s="7">
        <f t="shared" si="75"/>
        <v>0</v>
      </c>
      <c r="I187" s="7">
        <f t="shared" si="75"/>
        <v>0</v>
      </c>
      <c r="J187" s="7">
        <f t="shared" si="75"/>
        <v>7678475</v>
      </c>
      <c r="K187" s="7">
        <f t="shared" si="75"/>
        <v>0</v>
      </c>
      <c r="L187" s="7">
        <f t="shared" si="75"/>
        <v>0</v>
      </c>
      <c r="M187" s="7">
        <f t="shared" si="75"/>
        <v>0</v>
      </c>
      <c r="N187" s="7">
        <f t="shared" si="75"/>
        <v>0</v>
      </c>
      <c r="O187" s="7"/>
      <c r="P187" s="7">
        <f t="shared" si="58"/>
        <v>7678475</v>
      </c>
      <c r="Q187" s="7">
        <f>SUM(Q181:Q186)</f>
        <v>100000</v>
      </c>
      <c r="R187" s="7">
        <f t="shared" ref="R187:AC187" si="76">SUM(R181:R186)</f>
        <v>0</v>
      </c>
      <c r="S187" s="7">
        <f t="shared" si="76"/>
        <v>0</v>
      </c>
      <c r="T187" s="7">
        <f t="shared" si="76"/>
        <v>0</v>
      </c>
      <c r="U187" s="7">
        <f t="shared" si="76"/>
        <v>0</v>
      </c>
      <c r="V187" s="7">
        <f t="shared" si="59"/>
        <v>7778475</v>
      </c>
      <c r="W187" s="7">
        <f t="shared" si="76"/>
        <v>-2347</v>
      </c>
      <c r="X187" s="7">
        <f t="shared" si="76"/>
        <v>0</v>
      </c>
      <c r="Y187" s="7">
        <f t="shared" si="76"/>
        <v>0</v>
      </c>
      <c r="Z187" s="7">
        <f t="shared" si="76"/>
        <v>0</v>
      </c>
      <c r="AA187" s="7">
        <f t="shared" si="76"/>
        <v>-984</v>
      </c>
      <c r="AB187" s="7">
        <f t="shared" si="76"/>
        <v>0</v>
      </c>
      <c r="AC187" s="7">
        <f t="shared" si="76"/>
        <v>0</v>
      </c>
      <c r="AD187" s="7">
        <f t="shared" si="74"/>
        <v>7775144</v>
      </c>
      <c r="AE187" s="110">
        <f t="shared" si="75"/>
        <v>7775144</v>
      </c>
      <c r="AF187" s="110">
        <f t="shared" si="50"/>
        <v>0</v>
      </c>
    </row>
    <row r="188" spans="1:32" x14ac:dyDescent="0.3">
      <c r="A188" s="254"/>
      <c r="B188" s="261"/>
      <c r="C188" s="82" t="s">
        <v>31</v>
      </c>
      <c r="D188" s="83">
        <v>1217320</v>
      </c>
      <c r="E188" s="83"/>
      <c r="F188" s="83"/>
      <c r="G188" s="83"/>
      <c r="H188" s="83"/>
      <c r="I188" s="191"/>
      <c r="J188" s="84">
        <f t="shared" ref="J188" si="77">SUM(D188:I188)</f>
        <v>1217320</v>
      </c>
      <c r="K188" s="84"/>
      <c r="L188" s="84"/>
      <c r="M188" s="84"/>
      <c r="N188" s="84"/>
      <c r="O188" s="84"/>
      <c r="P188" s="84">
        <f t="shared" si="58"/>
        <v>1217320</v>
      </c>
      <c r="Q188" s="84">
        <v>-100000</v>
      </c>
      <c r="R188" s="84"/>
      <c r="S188" s="84"/>
      <c r="T188" s="84"/>
      <c r="U188" s="84"/>
      <c r="V188" s="84">
        <f t="shared" si="59"/>
        <v>1117320</v>
      </c>
      <c r="W188" s="84">
        <v>2347</v>
      </c>
      <c r="X188" s="84"/>
      <c r="Y188" s="84"/>
      <c r="Z188" s="84"/>
      <c r="AA188" s="84"/>
      <c r="AB188" s="84"/>
      <c r="AC188" s="84"/>
      <c r="AD188" s="84">
        <f t="shared" si="74"/>
        <v>1119667</v>
      </c>
      <c r="AE188" s="111">
        <v>1119667</v>
      </c>
      <c r="AF188" s="111">
        <f t="shared" si="50"/>
        <v>0</v>
      </c>
    </row>
    <row r="189" spans="1:32" x14ac:dyDescent="0.3">
      <c r="A189" s="254"/>
      <c r="B189" s="261"/>
      <c r="C189" s="10" t="s">
        <v>32</v>
      </c>
      <c r="D189" s="24">
        <v>100000</v>
      </c>
      <c r="E189" s="11"/>
      <c r="F189" s="11"/>
      <c r="G189" s="11"/>
      <c r="H189" s="11"/>
      <c r="I189" s="192"/>
      <c r="J189" s="20">
        <f t="shared" ref="J189:J200" si="78">SUM(D189:I189)</f>
        <v>100000</v>
      </c>
      <c r="K189" s="20"/>
      <c r="L189" s="20"/>
      <c r="M189" s="20"/>
      <c r="N189" s="20"/>
      <c r="O189" s="20"/>
      <c r="P189" s="20">
        <f t="shared" si="58"/>
        <v>100000</v>
      </c>
      <c r="Q189" s="20"/>
      <c r="R189" s="20"/>
      <c r="S189" s="20"/>
      <c r="T189" s="20"/>
      <c r="U189" s="20"/>
      <c r="V189" s="20">
        <f t="shared" si="59"/>
        <v>100000</v>
      </c>
      <c r="W189" s="20"/>
      <c r="X189" s="20"/>
      <c r="Y189" s="20"/>
      <c r="Z189" s="20"/>
      <c r="AA189" s="20">
        <v>-100000</v>
      </c>
      <c r="AB189" s="20"/>
      <c r="AC189" s="20"/>
      <c r="AD189" s="20">
        <f t="shared" si="74"/>
        <v>0</v>
      </c>
      <c r="AE189" s="108">
        <v>0</v>
      </c>
      <c r="AF189" s="3">
        <f t="shared" si="50"/>
        <v>0</v>
      </c>
    </row>
    <row r="190" spans="1:32" x14ac:dyDescent="0.3">
      <c r="A190" s="254"/>
      <c r="B190" s="261"/>
      <c r="C190" s="10" t="s">
        <v>33</v>
      </c>
      <c r="D190" s="24">
        <v>130000</v>
      </c>
      <c r="E190" s="11"/>
      <c r="F190" s="11"/>
      <c r="G190" s="213"/>
      <c r="H190" s="11"/>
      <c r="I190" s="192"/>
      <c r="J190" s="20">
        <f t="shared" si="78"/>
        <v>130000</v>
      </c>
      <c r="K190" s="20"/>
      <c r="L190" s="20"/>
      <c r="M190" s="20"/>
      <c r="N190" s="20"/>
      <c r="O190" s="20"/>
      <c r="P190" s="20">
        <f t="shared" si="58"/>
        <v>130000</v>
      </c>
      <c r="Q190" s="20"/>
      <c r="R190" s="20"/>
      <c r="S190" s="20"/>
      <c r="T190" s="20"/>
      <c r="U190" s="20"/>
      <c r="V190" s="20">
        <f t="shared" si="59"/>
        <v>130000</v>
      </c>
      <c r="W190" s="20"/>
      <c r="X190" s="20"/>
      <c r="Y190" s="20"/>
      <c r="Z190" s="20"/>
      <c r="AA190" s="20">
        <v>-57904</v>
      </c>
      <c r="AB190" s="20"/>
      <c r="AC190" s="20"/>
      <c r="AD190" s="20">
        <f t="shared" si="74"/>
        <v>72096</v>
      </c>
      <c r="AE190" s="108">
        <v>72096</v>
      </c>
      <c r="AF190" s="3">
        <f t="shared" si="50"/>
        <v>0</v>
      </c>
    </row>
    <row r="191" spans="1:32" x14ac:dyDescent="0.3">
      <c r="A191" s="254"/>
      <c r="B191" s="261"/>
      <c r="C191" s="10" t="s">
        <v>34</v>
      </c>
      <c r="D191" s="24">
        <v>139093</v>
      </c>
      <c r="E191" s="187"/>
      <c r="F191" s="11"/>
      <c r="G191" s="213"/>
      <c r="H191" s="11"/>
      <c r="I191" s="192"/>
      <c r="J191" s="20">
        <f t="shared" si="78"/>
        <v>139093</v>
      </c>
      <c r="K191" s="20"/>
      <c r="L191" s="20"/>
      <c r="M191" s="20"/>
      <c r="N191" s="20"/>
      <c r="O191" s="20"/>
      <c r="P191" s="20">
        <f t="shared" si="58"/>
        <v>139093</v>
      </c>
      <c r="Q191" s="20"/>
      <c r="R191" s="20"/>
      <c r="S191" s="20"/>
      <c r="T191" s="20"/>
      <c r="U191" s="20"/>
      <c r="V191" s="20">
        <f t="shared" si="59"/>
        <v>139093</v>
      </c>
      <c r="W191" s="20"/>
      <c r="X191" s="20"/>
      <c r="Y191" s="20"/>
      <c r="Z191" s="20"/>
      <c r="AA191" s="20">
        <v>-103677</v>
      </c>
      <c r="AB191" s="20"/>
      <c r="AC191" s="20"/>
      <c r="AD191" s="20">
        <f t="shared" si="74"/>
        <v>35416</v>
      </c>
      <c r="AE191" s="108">
        <v>35416</v>
      </c>
      <c r="AF191" s="3">
        <f t="shared" si="50"/>
        <v>0</v>
      </c>
    </row>
    <row r="192" spans="1:32" x14ac:dyDescent="0.3">
      <c r="A192" s="254"/>
      <c r="B192" s="261"/>
      <c r="C192" s="10" t="s">
        <v>35</v>
      </c>
      <c r="D192" s="24">
        <v>71227</v>
      </c>
      <c r="E192" s="187"/>
      <c r="F192" s="11"/>
      <c r="G192" s="213"/>
      <c r="H192" s="11"/>
      <c r="I192" s="192"/>
      <c r="J192" s="20">
        <f t="shared" si="78"/>
        <v>71227</v>
      </c>
      <c r="K192" s="20"/>
      <c r="L192" s="20"/>
      <c r="M192" s="20"/>
      <c r="N192" s="20"/>
      <c r="O192" s="20"/>
      <c r="P192" s="20">
        <f t="shared" si="58"/>
        <v>71227</v>
      </c>
      <c r="Q192" s="20"/>
      <c r="R192" s="20"/>
      <c r="S192" s="20"/>
      <c r="T192" s="20"/>
      <c r="U192" s="20"/>
      <c r="V192" s="20">
        <f t="shared" si="59"/>
        <v>71227</v>
      </c>
      <c r="W192" s="20"/>
      <c r="X192" s="20"/>
      <c r="Y192" s="20"/>
      <c r="Z192" s="20"/>
      <c r="AA192" s="20">
        <v>-62997</v>
      </c>
      <c r="AB192" s="20"/>
      <c r="AC192" s="20"/>
      <c r="AD192" s="20">
        <f t="shared" si="74"/>
        <v>8230</v>
      </c>
      <c r="AE192" s="108">
        <v>8230</v>
      </c>
      <c r="AF192" s="3">
        <f t="shared" si="50"/>
        <v>0</v>
      </c>
    </row>
    <row r="193" spans="1:32" x14ac:dyDescent="0.3">
      <c r="A193" s="254"/>
      <c r="B193" s="261"/>
      <c r="C193" s="236" t="s">
        <v>195</v>
      </c>
      <c r="D193" s="24">
        <v>114742</v>
      </c>
      <c r="E193" s="187"/>
      <c r="F193" s="11"/>
      <c r="G193" s="213"/>
      <c r="H193" s="11"/>
      <c r="I193" s="192"/>
      <c r="J193" s="20">
        <f t="shared" si="78"/>
        <v>114742</v>
      </c>
      <c r="K193" s="20"/>
      <c r="L193" s="20"/>
      <c r="M193" s="20"/>
      <c r="N193" s="20"/>
      <c r="O193" s="20"/>
      <c r="P193" s="20">
        <f t="shared" si="58"/>
        <v>114742</v>
      </c>
      <c r="Q193" s="20"/>
      <c r="R193" s="20"/>
      <c r="S193" s="20"/>
      <c r="T193" s="20"/>
      <c r="U193" s="20"/>
      <c r="V193" s="20">
        <f t="shared" si="59"/>
        <v>114742</v>
      </c>
      <c r="W193" s="20"/>
      <c r="X193" s="20"/>
      <c r="Y193" s="20"/>
      <c r="Z193" s="20"/>
      <c r="AA193" s="20">
        <v>-23666</v>
      </c>
      <c r="AB193" s="20"/>
      <c r="AC193" s="20"/>
      <c r="AD193" s="20">
        <f t="shared" si="74"/>
        <v>91076</v>
      </c>
      <c r="AE193" s="108">
        <v>91076</v>
      </c>
      <c r="AF193" s="3">
        <f t="shared" si="50"/>
        <v>0</v>
      </c>
    </row>
    <row r="194" spans="1:32" x14ac:dyDescent="0.3">
      <c r="A194" s="254"/>
      <c r="B194" s="261"/>
      <c r="C194" s="236" t="s">
        <v>196</v>
      </c>
      <c r="D194" s="24">
        <v>2250</v>
      </c>
      <c r="E194" s="187"/>
      <c r="F194" s="11"/>
      <c r="G194" s="213"/>
      <c r="H194" s="11"/>
      <c r="I194" s="192"/>
      <c r="J194" s="20">
        <f t="shared" si="78"/>
        <v>2250</v>
      </c>
      <c r="K194" s="20">
        <v>2500</v>
      </c>
      <c r="L194" s="20"/>
      <c r="M194" s="20"/>
      <c r="N194" s="20"/>
      <c r="O194" s="20"/>
      <c r="P194" s="20">
        <f t="shared" si="58"/>
        <v>4750</v>
      </c>
      <c r="Q194" s="20"/>
      <c r="R194" s="20"/>
      <c r="S194" s="20"/>
      <c r="T194" s="20"/>
      <c r="U194" s="20"/>
      <c r="V194" s="20">
        <f t="shared" si="59"/>
        <v>4750</v>
      </c>
      <c r="W194" s="20"/>
      <c r="X194" s="20"/>
      <c r="Y194" s="20"/>
      <c r="Z194" s="20"/>
      <c r="AA194" s="20">
        <v>-896</v>
      </c>
      <c r="AB194" s="20"/>
      <c r="AC194" s="20"/>
      <c r="AD194" s="20">
        <f t="shared" si="74"/>
        <v>3854</v>
      </c>
      <c r="AE194" s="108">
        <v>3854</v>
      </c>
      <c r="AF194" s="3">
        <f t="shared" si="50"/>
        <v>0</v>
      </c>
    </row>
    <row r="195" spans="1:32" x14ac:dyDescent="0.3">
      <c r="A195" s="254"/>
      <c r="B195" s="261"/>
      <c r="C195" s="10" t="s">
        <v>38</v>
      </c>
      <c r="D195" s="24">
        <v>50000</v>
      </c>
      <c r="E195" s="187"/>
      <c r="F195" s="11"/>
      <c r="G195" s="213"/>
      <c r="H195" s="11"/>
      <c r="I195" s="192"/>
      <c r="J195" s="20">
        <f t="shared" si="78"/>
        <v>50000</v>
      </c>
      <c r="K195" s="20"/>
      <c r="L195" s="20"/>
      <c r="M195" s="20"/>
      <c r="N195" s="20"/>
      <c r="O195" s="20"/>
      <c r="P195" s="20">
        <f t="shared" si="58"/>
        <v>50000</v>
      </c>
      <c r="Q195" s="20"/>
      <c r="R195" s="20"/>
      <c r="S195" s="20"/>
      <c r="T195" s="20"/>
      <c r="U195" s="20"/>
      <c r="V195" s="20">
        <f t="shared" si="59"/>
        <v>50000</v>
      </c>
      <c r="W195" s="20"/>
      <c r="X195" s="20"/>
      <c r="Y195" s="20"/>
      <c r="Z195" s="20"/>
      <c r="AA195" s="20">
        <v>-50000</v>
      </c>
      <c r="AB195" s="20"/>
      <c r="AC195" s="20"/>
      <c r="AD195" s="20">
        <f t="shared" si="74"/>
        <v>0</v>
      </c>
      <c r="AE195" s="108">
        <v>0</v>
      </c>
      <c r="AF195" s="3">
        <f t="shared" si="50"/>
        <v>0</v>
      </c>
    </row>
    <row r="196" spans="1:32" x14ac:dyDescent="0.3">
      <c r="A196" s="254"/>
      <c r="B196" s="261"/>
      <c r="C196" s="10" t="s">
        <v>40</v>
      </c>
      <c r="D196" s="24">
        <v>128700</v>
      </c>
      <c r="E196" s="187"/>
      <c r="F196" s="11"/>
      <c r="G196" s="213"/>
      <c r="H196" s="11"/>
      <c r="I196" s="192"/>
      <c r="J196" s="20">
        <f t="shared" si="78"/>
        <v>128700</v>
      </c>
      <c r="K196" s="20"/>
      <c r="L196" s="20"/>
      <c r="M196" s="20"/>
      <c r="N196" s="20"/>
      <c r="O196" s="20"/>
      <c r="P196" s="20">
        <f t="shared" si="58"/>
        <v>128700</v>
      </c>
      <c r="Q196" s="20"/>
      <c r="R196" s="20"/>
      <c r="S196" s="20"/>
      <c r="T196" s="20"/>
      <c r="U196" s="20"/>
      <c r="V196" s="20">
        <f t="shared" si="59"/>
        <v>128700</v>
      </c>
      <c r="W196" s="20"/>
      <c r="X196" s="20"/>
      <c r="Y196" s="20"/>
      <c r="Z196" s="20"/>
      <c r="AA196" s="20">
        <v>-110000</v>
      </c>
      <c r="AB196" s="20"/>
      <c r="AC196" s="20"/>
      <c r="AD196" s="20">
        <f t="shared" si="74"/>
        <v>18700</v>
      </c>
      <c r="AE196" s="108">
        <v>18700</v>
      </c>
      <c r="AF196" s="3">
        <f t="shared" si="50"/>
        <v>0</v>
      </c>
    </row>
    <row r="197" spans="1:32" x14ac:dyDescent="0.3">
      <c r="A197" s="254"/>
      <c r="B197" s="261"/>
      <c r="C197" s="10" t="s">
        <v>41</v>
      </c>
      <c r="D197" s="24">
        <v>248538</v>
      </c>
      <c r="E197" s="187"/>
      <c r="F197" s="11"/>
      <c r="G197" s="213"/>
      <c r="H197" s="11"/>
      <c r="I197" s="192"/>
      <c r="J197" s="20">
        <f t="shared" si="78"/>
        <v>248538</v>
      </c>
      <c r="K197" s="20">
        <v>-2500</v>
      </c>
      <c r="L197" s="20"/>
      <c r="M197" s="20"/>
      <c r="N197" s="20"/>
      <c r="O197" s="20"/>
      <c r="P197" s="20">
        <f t="shared" si="58"/>
        <v>246038</v>
      </c>
      <c r="Q197" s="20"/>
      <c r="R197" s="20"/>
      <c r="S197" s="20"/>
      <c r="T197" s="20"/>
      <c r="U197" s="20"/>
      <c r="V197" s="20">
        <f t="shared" si="59"/>
        <v>246038</v>
      </c>
      <c r="W197" s="20"/>
      <c r="X197" s="20"/>
      <c r="Y197" s="20"/>
      <c r="Z197" s="20"/>
      <c r="AA197" s="20">
        <f>-49759-196279</f>
        <v>-246038</v>
      </c>
      <c r="AB197" s="20"/>
      <c r="AC197" s="20"/>
      <c r="AD197" s="20">
        <f t="shared" si="74"/>
        <v>0</v>
      </c>
      <c r="AE197" s="108">
        <v>196279</v>
      </c>
      <c r="AF197" s="3">
        <f t="shared" si="50"/>
        <v>-196279</v>
      </c>
    </row>
    <row r="198" spans="1:32" x14ac:dyDescent="0.3">
      <c r="A198" s="254"/>
      <c r="B198" s="261"/>
      <c r="C198" s="10" t="s">
        <v>42</v>
      </c>
      <c r="D198" s="24">
        <v>250000</v>
      </c>
      <c r="E198" s="187"/>
      <c r="F198" s="11"/>
      <c r="G198" s="213"/>
      <c r="H198" s="11"/>
      <c r="I198" s="192"/>
      <c r="J198" s="20">
        <f t="shared" si="78"/>
        <v>250000</v>
      </c>
      <c r="K198" s="20"/>
      <c r="L198" s="20"/>
      <c r="M198" s="20"/>
      <c r="N198" s="20"/>
      <c r="O198" s="20"/>
      <c r="P198" s="20">
        <f t="shared" si="58"/>
        <v>250000</v>
      </c>
      <c r="Q198" s="20"/>
      <c r="R198" s="20"/>
      <c r="S198" s="20"/>
      <c r="T198" s="20"/>
      <c r="U198" s="20"/>
      <c r="V198" s="20">
        <f t="shared" si="59"/>
        <v>250000</v>
      </c>
      <c r="W198" s="20"/>
      <c r="X198" s="20"/>
      <c r="Y198" s="20"/>
      <c r="Z198" s="20"/>
      <c r="AA198" s="20">
        <f>-22012-43351</f>
        <v>-65363</v>
      </c>
      <c r="AB198" s="20"/>
      <c r="AC198" s="20"/>
      <c r="AD198" s="20">
        <f t="shared" si="74"/>
        <v>184637</v>
      </c>
      <c r="AE198" s="108">
        <v>227988</v>
      </c>
      <c r="AF198" s="3">
        <f t="shared" ref="AF198:AF256" si="79">AD198-AE198</f>
        <v>-43351</v>
      </c>
    </row>
    <row r="199" spans="1:32" x14ac:dyDescent="0.3">
      <c r="A199" s="254"/>
      <c r="B199" s="261"/>
      <c r="C199" s="10" t="s">
        <v>44</v>
      </c>
      <c r="D199" s="24">
        <v>184348</v>
      </c>
      <c r="E199" s="187"/>
      <c r="F199" s="11"/>
      <c r="G199" s="213"/>
      <c r="H199" s="11"/>
      <c r="I199" s="192"/>
      <c r="J199" s="20">
        <f t="shared" si="78"/>
        <v>184348</v>
      </c>
      <c r="K199" s="20"/>
      <c r="L199" s="20"/>
      <c r="M199" s="20"/>
      <c r="N199" s="20"/>
      <c r="O199" s="20"/>
      <c r="P199" s="20">
        <f t="shared" si="58"/>
        <v>184348</v>
      </c>
      <c r="Q199" s="20"/>
      <c r="R199" s="20"/>
      <c r="S199" s="20"/>
      <c r="T199" s="20"/>
      <c r="U199" s="20"/>
      <c r="V199" s="20">
        <f t="shared" si="59"/>
        <v>184348</v>
      </c>
      <c r="W199" s="20"/>
      <c r="X199" s="20"/>
      <c r="Y199" s="20"/>
      <c r="Z199" s="20"/>
      <c r="AA199" s="20">
        <f>-124860-52996</f>
        <v>-177856</v>
      </c>
      <c r="AB199" s="20"/>
      <c r="AC199" s="20"/>
      <c r="AD199" s="20">
        <f t="shared" si="74"/>
        <v>6492</v>
      </c>
      <c r="AE199" s="108">
        <v>59488</v>
      </c>
      <c r="AF199" s="3">
        <f t="shared" si="79"/>
        <v>-52996</v>
      </c>
    </row>
    <row r="200" spans="1:32" x14ac:dyDescent="0.3">
      <c r="A200" s="254"/>
      <c r="B200" s="261"/>
      <c r="C200" s="210" t="s">
        <v>45</v>
      </c>
      <c r="D200" s="24">
        <v>4267</v>
      </c>
      <c r="E200" s="187"/>
      <c r="F200" s="11"/>
      <c r="G200" s="11"/>
      <c r="H200" s="11"/>
      <c r="I200" s="192"/>
      <c r="J200" s="20">
        <f t="shared" si="78"/>
        <v>4267</v>
      </c>
      <c r="K200" s="20"/>
      <c r="L200" s="20"/>
      <c r="M200" s="20"/>
      <c r="N200" s="20"/>
      <c r="O200" s="20"/>
      <c r="P200" s="20">
        <f t="shared" si="58"/>
        <v>4267</v>
      </c>
      <c r="Q200" s="20"/>
      <c r="R200" s="20"/>
      <c r="S200" s="20"/>
      <c r="T200" s="20"/>
      <c r="U200" s="20"/>
      <c r="V200" s="20">
        <f t="shared" si="59"/>
        <v>4267</v>
      </c>
      <c r="W200" s="20"/>
      <c r="X200" s="20"/>
      <c r="Y200" s="20"/>
      <c r="Z200" s="20"/>
      <c r="AA200" s="20">
        <v>-619</v>
      </c>
      <c r="AB200" s="20"/>
      <c r="AC200" s="20"/>
      <c r="AD200" s="20">
        <f t="shared" si="74"/>
        <v>3648</v>
      </c>
      <c r="AE200" s="108">
        <v>3648</v>
      </c>
      <c r="AF200" s="3">
        <f t="shared" si="79"/>
        <v>0</v>
      </c>
    </row>
    <row r="201" spans="1:32" x14ac:dyDescent="0.3">
      <c r="A201" s="254"/>
      <c r="B201" s="261"/>
      <c r="C201" s="6" t="s">
        <v>49</v>
      </c>
      <c r="D201" s="7">
        <f>SUM(D189:D200)</f>
        <v>1423165</v>
      </c>
      <c r="E201" s="7">
        <f t="shared" ref="E201:N201" si="80">SUM(E189:E200)</f>
        <v>0</v>
      </c>
      <c r="F201" s="7">
        <f t="shared" si="80"/>
        <v>0</v>
      </c>
      <c r="G201" s="7">
        <f t="shared" si="80"/>
        <v>0</v>
      </c>
      <c r="H201" s="7">
        <f t="shared" si="80"/>
        <v>0</v>
      </c>
      <c r="I201" s="7">
        <f t="shared" si="80"/>
        <v>0</v>
      </c>
      <c r="J201" s="7">
        <f t="shared" si="80"/>
        <v>1423165</v>
      </c>
      <c r="K201" s="7">
        <f t="shared" si="80"/>
        <v>0</v>
      </c>
      <c r="L201" s="7">
        <f t="shared" si="80"/>
        <v>0</v>
      </c>
      <c r="M201" s="7">
        <f t="shared" si="80"/>
        <v>0</v>
      </c>
      <c r="N201" s="7">
        <f t="shared" si="80"/>
        <v>0</v>
      </c>
      <c r="O201" s="7"/>
      <c r="P201" s="7">
        <f t="shared" si="58"/>
        <v>1423165</v>
      </c>
      <c r="Q201" s="7">
        <f>SUM(Q189:Q200)</f>
        <v>0</v>
      </c>
      <c r="R201" s="7">
        <f t="shared" ref="R201:AC201" si="81">SUM(R189:R200)</f>
        <v>0</v>
      </c>
      <c r="S201" s="7">
        <f t="shared" si="81"/>
        <v>0</v>
      </c>
      <c r="T201" s="7">
        <f t="shared" si="81"/>
        <v>0</v>
      </c>
      <c r="U201" s="7">
        <f t="shared" si="81"/>
        <v>0</v>
      </c>
      <c r="V201" s="7">
        <f t="shared" si="59"/>
        <v>1423165</v>
      </c>
      <c r="W201" s="7">
        <f t="shared" si="81"/>
        <v>0</v>
      </c>
      <c r="X201" s="7">
        <f t="shared" si="81"/>
        <v>0</v>
      </c>
      <c r="Y201" s="7">
        <f t="shared" si="81"/>
        <v>0</v>
      </c>
      <c r="Z201" s="7">
        <f t="shared" si="81"/>
        <v>0</v>
      </c>
      <c r="AA201" s="7">
        <f t="shared" si="81"/>
        <v>-999016</v>
      </c>
      <c r="AB201" s="7">
        <f t="shared" si="81"/>
        <v>0</v>
      </c>
      <c r="AC201" s="7">
        <f t="shared" si="81"/>
        <v>0</v>
      </c>
      <c r="AD201" s="7">
        <f t="shared" si="74"/>
        <v>424149</v>
      </c>
      <c r="AE201" s="7">
        <f>SUM(AE189:AE200)</f>
        <v>716775</v>
      </c>
      <c r="AF201" s="7">
        <f t="shared" si="79"/>
        <v>-292626</v>
      </c>
    </row>
    <row r="202" spans="1:32" x14ac:dyDescent="0.3">
      <c r="A202" s="262" t="s">
        <v>67</v>
      </c>
      <c r="B202" s="264" t="s">
        <v>23</v>
      </c>
      <c r="C202" s="25" t="s">
        <v>29</v>
      </c>
      <c r="D202" s="24">
        <v>0</v>
      </c>
      <c r="E202" s="11"/>
      <c r="F202" s="187"/>
      <c r="G202" s="187"/>
      <c r="H202" s="11"/>
      <c r="I202" s="192"/>
      <c r="J202" s="20">
        <f t="shared" ref="J202:J205" si="82">SUM(D202:I202)</f>
        <v>0</v>
      </c>
      <c r="K202" s="20"/>
      <c r="L202" s="20"/>
      <c r="M202" s="20"/>
      <c r="N202" s="20"/>
      <c r="O202" s="20"/>
      <c r="P202" s="20">
        <f t="shared" si="58"/>
        <v>0</v>
      </c>
      <c r="Q202" s="20"/>
      <c r="R202" s="20"/>
      <c r="S202" s="20"/>
      <c r="T202" s="20"/>
      <c r="U202" s="20"/>
      <c r="V202" s="20">
        <f t="shared" si="59"/>
        <v>0</v>
      </c>
      <c r="W202" s="20"/>
      <c r="X202" s="20"/>
      <c r="Y202" s="20"/>
      <c r="Z202" s="20"/>
      <c r="AA202" s="20"/>
      <c r="AB202" s="20"/>
      <c r="AC202" s="20"/>
      <c r="AD202" s="20">
        <f t="shared" si="74"/>
        <v>0</v>
      </c>
      <c r="AE202" s="108">
        <v>0</v>
      </c>
      <c r="AF202" s="3">
        <f t="shared" si="79"/>
        <v>0</v>
      </c>
    </row>
    <row r="203" spans="1:32" x14ac:dyDescent="0.3">
      <c r="A203" s="263"/>
      <c r="B203" s="265"/>
      <c r="C203" s="25" t="s">
        <v>31</v>
      </c>
      <c r="D203" s="24">
        <v>0</v>
      </c>
      <c r="E203" s="11"/>
      <c r="F203" s="187"/>
      <c r="G203" s="187"/>
      <c r="H203" s="11"/>
      <c r="I203" s="192"/>
      <c r="J203" s="20">
        <f t="shared" si="82"/>
        <v>0</v>
      </c>
      <c r="K203" s="20"/>
      <c r="L203" s="20"/>
      <c r="M203" s="20"/>
      <c r="N203" s="20"/>
      <c r="O203" s="20"/>
      <c r="P203" s="20">
        <f t="shared" si="58"/>
        <v>0</v>
      </c>
      <c r="Q203" s="20"/>
      <c r="R203" s="20"/>
      <c r="S203" s="20"/>
      <c r="T203" s="20"/>
      <c r="U203" s="20"/>
      <c r="V203" s="20">
        <f t="shared" si="59"/>
        <v>0</v>
      </c>
      <c r="W203" s="20"/>
      <c r="X203" s="20"/>
      <c r="Y203" s="20"/>
      <c r="Z203" s="20"/>
      <c r="AA203" s="20"/>
      <c r="AB203" s="20"/>
      <c r="AC203" s="20"/>
      <c r="AD203" s="20">
        <f t="shared" si="74"/>
        <v>0</v>
      </c>
      <c r="AE203" s="108">
        <v>0</v>
      </c>
      <c r="AF203" s="3">
        <f t="shared" si="79"/>
        <v>0</v>
      </c>
    </row>
    <row r="204" spans="1:32" x14ac:dyDescent="0.3">
      <c r="A204" s="262" t="s">
        <v>75</v>
      </c>
      <c r="B204" s="264" t="s">
        <v>23</v>
      </c>
      <c r="C204" s="15" t="s">
        <v>24</v>
      </c>
      <c r="D204" s="24">
        <v>1647000</v>
      </c>
      <c r="E204" s="11"/>
      <c r="F204" s="187"/>
      <c r="G204" s="187"/>
      <c r="H204" s="11"/>
      <c r="I204" s="192"/>
      <c r="J204" s="20">
        <f t="shared" si="82"/>
        <v>1647000</v>
      </c>
      <c r="K204" s="20"/>
      <c r="L204" s="20"/>
      <c r="M204" s="20"/>
      <c r="N204" s="20"/>
      <c r="O204" s="20"/>
      <c r="P204" s="20">
        <f t="shared" si="58"/>
        <v>1647000</v>
      </c>
      <c r="Q204" s="20"/>
      <c r="R204" s="20">
        <v>2</v>
      </c>
      <c r="S204" s="20"/>
      <c r="T204" s="20"/>
      <c r="U204" s="20"/>
      <c r="V204" s="20">
        <f t="shared" si="59"/>
        <v>1647002</v>
      </c>
      <c r="W204" s="20"/>
      <c r="X204" s="20"/>
      <c r="Y204" s="20"/>
      <c r="Z204" s="20">
        <v>4</v>
      </c>
      <c r="AA204" s="20"/>
      <c r="AB204" s="20"/>
      <c r="AC204" s="20"/>
      <c r="AD204" s="20">
        <f t="shared" si="74"/>
        <v>1647006</v>
      </c>
      <c r="AE204" s="108">
        <v>1647006</v>
      </c>
      <c r="AF204" s="3">
        <f t="shared" si="79"/>
        <v>0</v>
      </c>
    </row>
    <row r="205" spans="1:32" x14ac:dyDescent="0.3">
      <c r="A205" s="263"/>
      <c r="B205" s="265"/>
      <c r="C205" s="15" t="s">
        <v>31</v>
      </c>
      <c r="D205" s="24">
        <v>214110</v>
      </c>
      <c r="E205" s="11"/>
      <c r="F205" s="187"/>
      <c r="G205" s="187"/>
      <c r="H205" s="11"/>
      <c r="I205" s="192"/>
      <c r="J205" s="20">
        <f t="shared" si="82"/>
        <v>214110</v>
      </c>
      <c r="K205" s="20"/>
      <c r="L205" s="20"/>
      <c r="M205" s="20"/>
      <c r="N205" s="20"/>
      <c r="O205" s="20"/>
      <c r="P205" s="20">
        <f t="shared" si="58"/>
        <v>214110</v>
      </c>
      <c r="Q205" s="20"/>
      <c r="R205" s="20">
        <v>4</v>
      </c>
      <c r="S205" s="20"/>
      <c r="T205" s="20"/>
      <c r="U205" s="20"/>
      <c r="V205" s="20">
        <f t="shared" si="59"/>
        <v>214114</v>
      </c>
      <c r="W205" s="20"/>
      <c r="X205" s="20"/>
      <c r="Y205" s="20"/>
      <c r="Z205" s="20">
        <v>5</v>
      </c>
      <c r="AA205" s="20"/>
      <c r="AB205" s="20"/>
      <c r="AC205" s="20"/>
      <c r="AD205" s="20">
        <f t="shared" si="74"/>
        <v>214119</v>
      </c>
      <c r="AE205" s="108">
        <v>214119</v>
      </c>
      <c r="AF205" s="3">
        <f t="shared" si="79"/>
        <v>0</v>
      </c>
    </row>
    <row r="206" spans="1:32" x14ac:dyDescent="0.3">
      <c r="A206" s="322" t="s">
        <v>80</v>
      </c>
      <c r="B206" s="322"/>
      <c r="C206" s="322"/>
      <c r="D206" s="81">
        <f>SUM(D187+D188+D201+D202+D203+D204+D205)</f>
        <v>12180070</v>
      </c>
      <c r="E206" s="81">
        <f t="shared" ref="E206:AE206" si="83">SUM(E187+E188+E201+E202+E203+E204+E205)</f>
        <v>0</v>
      </c>
      <c r="F206" s="81">
        <f t="shared" si="83"/>
        <v>0</v>
      </c>
      <c r="G206" s="81">
        <f t="shared" si="83"/>
        <v>0</v>
      </c>
      <c r="H206" s="81">
        <f t="shared" si="83"/>
        <v>0</v>
      </c>
      <c r="I206" s="81">
        <f t="shared" si="83"/>
        <v>0</v>
      </c>
      <c r="J206" s="81">
        <f t="shared" si="83"/>
        <v>12180070</v>
      </c>
      <c r="K206" s="81">
        <f t="shared" si="83"/>
        <v>0</v>
      </c>
      <c r="L206" s="81">
        <f t="shared" si="83"/>
        <v>0</v>
      </c>
      <c r="M206" s="81">
        <f t="shared" si="83"/>
        <v>0</v>
      </c>
      <c r="N206" s="81">
        <f t="shared" si="83"/>
        <v>0</v>
      </c>
      <c r="O206" s="81"/>
      <c r="P206" s="81">
        <f t="shared" si="58"/>
        <v>12180070</v>
      </c>
      <c r="Q206" s="81">
        <f t="shared" si="83"/>
        <v>0</v>
      </c>
      <c r="R206" s="81">
        <f t="shared" si="83"/>
        <v>6</v>
      </c>
      <c r="S206" s="81">
        <f t="shared" si="83"/>
        <v>0</v>
      </c>
      <c r="T206" s="81">
        <f t="shared" si="83"/>
        <v>0</v>
      </c>
      <c r="U206" s="81">
        <f t="shared" si="83"/>
        <v>0</v>
      </c>
      <c r="V206" s="81">
        <f t="shared" si="59"/>
        <v>12180076</v>
      </c>
      <c r="W206" s="81">
        <f t="shared" si="83"/>
        <v>0</v>
      </c>
      <c r="X206" s="81">
        <f t="shared" si="83"/>
        <v>0</v>
      </c>
      <c r="Y206" s="81">
        <f t="shared" si="83"/>
        <v>0</v>
      </c>
      <c r="Z206" s="81">
        <f t="shared" si="83"/>
        <v>9</v>
      </c>
      <c r="AA206" s="81">
        <f t="shared" si="83"/>
        <v>-1000000</v>
      </c>
      <c r="AB206" s="81">
        <f t="shared" si="83"/>
        <v>0</v>
      </c>
      <c r="AC206" s="81">
        <f t="shared" si="83"/>
        <v>0</v>
      </c>
      <c r="AD206" s="81">
        <f t="shared" si="74"/>
        <v>11180085</v>
      </c>
      <c r="AE206" s="112">
        <f t="shared" si="83"/>
        <v>11472711</v>
      </c>
      <c r="AF206" s="112">
        <f t="shared" si="79"/>
        <v>-292626</v>
      </c>
    </row>
    <row r="207" spans="1:32" x14ac:dyDescent="0.3">
      <c r="A207" s="254" t="s">
        <v>15</v>
      </c>
      <c r="B207" s="264" t="s">
        <v>23</v>
      </c>
      <c r="C207" s="43" t="s">
        <v>24</v>
      </c>
      <c r="D207" s="44">
        <v>0</v>
      </c>
      <c r="E207" s="44"/>
      <c r="F207" s="44"/>
      <c r="G207" s="44"/>
      <c r="H207" s="44"/>
      <c r="I207" s="193"/>
      <c r="J207" s="20">
        <f t="shared" ref="J207:J208" si="84">SUM(D207:I207)</f>
        <v>0</v>
      </c>
      <c r="K207" s="20"/>
      <c r="L207" s="20"/>
      <c r="M207" s="20"/>
      <c r="N207" s="20"/>
      <c r="O207" s="20"/>
      <c r="P207" s="20">
        <f t="shared" si="58"/>
        <v>0</v>
      </c>
      <c r="Q207" s="20"/>
      <c r="R207" s="20"/>
      <c r="S207" s="20"/>
      <c r="T207" s="20"/>
      <c r="U207" s="20"/>
      <c r="V207" s="20">
        <f t="shared" si="59"/>
        <v>0</v>
      </c>
      <c r="W207" s="20"/>
      <c r="X207" s="20">
        <v>0</v>
      </c>
      <c r="Y207" s="20"/>
      <c r="Z207" s="20"/>
      <c r="AA207" s="20"/>
      <c r="AB207" s="20"/>
      <c r="AC207" s="20"/>
      <c r="AD207" s="20">
        <f t="shared" si="74"/>
        <v>0</v>
      </c>
      <c r="AE207" s="56">
        <v>0</v>
      </c>
      <c r="AF207" s="3">
        <f t="shared" si="79"/>
        <v>0</v>
      </c>
    </row>
    <row r="208" spans="1:32" x14ac:dyDescent="0.3">
      <c r="A208" s="254"/>
      <c r="B208" s="268"/>
      <c r="C208" s="43" t="s">
        <v>30</v>
      </c>
      <c r="D208" s="44">
        <v>0</v>
      </c>
      <c r="E208" s="44"/>
      <c r="F208" s="44"/>
      <c r="G208" s="44"/>
      <c r="H208" s="44"/>
      <c r="I208" s="193"/>
      <c r="J208" s="20">
        <f t="shared" si="84"/>
        <v>0</v>
      </c>
      <c r="K208" s="20"/>
      <c r="L208" s="20"/>
      <c r="M208" s="20"/>
      <c r="N208" s="20"/>
      <c r="O208" s="20"/>
      <c r="P208" s="20">
        <f t="shared" si="58"/>
        <v>0</v>
      </c>
      <c r="Q208" s="20"/>
      <c r="R208" s="20"/>
      <c r="S208" s="20"/>
      <c r="T208" s="20"/>
      <c r="U208" s="20"/>
      <c r="V208" s="20">
        <f t="shared" si="59"/>
        <v>0</v>
      </c>
      <c r="W208" s="20"/>
      <c r="X208" s="20"/>
      <c r="Y208" s="20"/>
      <c r="Z208" s="20"/>
      <c r="AA208" s="20"/>
      <c r="AB208" s="20"/>
      <c r="AC208" s="20"/>
      <c r="AD208" s="20">
        <f t="shared" si="74"/>
        <v>0</v>
      </c>
      <c r="AE208" s="56">
        <v>0</v>
      </c>
      <c r="AF208" s="3">
        <f t="shared" si="79"/>
        <v>0</v>
      </c>
    </row>
    <row r="209" spans="1:32" x14ac:dyDescent="0.3">
      <c r="A209" s="254"/>
      <c r="B209" s="268"/>
      <c r="C209" s="6" t="s">
        <v>53</v>
      </c>
      <c r="D209" s="7">
        <f>D207+D208</f>
        <v>0</v>
      </c>
      <c r="E209" s="7">
        <f t="shared" ref="E209:I209" si="85">E207+E208</f>
        <v>0</v>
      </c>
      <c r="F209" s="7">
        <f t="shared" si="85"/>
        <v>0</v>
      </c>
      <c r="G209" s="7">
        <f t="shared" si="85"/>
        <v>0</v>
      </c>
      <c r="H209" s="7">
        <f t="shared" si="85"/>
        <v>0</v>
      </c>
      <c r="I209" s="7">
        <f t="shared" si="85"/>
        <v>0</v>
      </c>
      <c r="J209" s="8">
        <f>SUM(J207:J208)</f>
        <v>0</v>
      </c>
      <c r="K209" s="8">
        <f t="shared" ref="K209:N209" si="86">SUM(K207:K208)</f>
        <v>0</v>
      </c>
      <c r="L209" s="8">
        <f t="shared" si="86"/>
        <v>0</v>
      </c>
      <c r="M209" s="8">
        <f t="shared" si="86"/>
        <v>0</v>
      </c>
      <c r="N209" s="8">
        <f t="shared" si="86"/>
        <v>0</v>
      </c>
      <c r="O209" s="8"/>
      <c r="P209" s="8">
        <f t="shared" si="58"/>
        <v>0</v>
      </c>
      <c r="Q209" s="8">
        <f>SUM(Q207:Q208)</f>
        <v>0</v>
      </c>
      <c r="R209" s="8">
        <f t="shared" ref="R209:AC209" si="87">SUM(R207:R208)</f>
        <v>0</v>
      </c>
      <c r="S209" s="8">
        <f t="shared" si="87"/>
        <v>0</v>
      </c>
      <c r="T209" s="8">
        <f t="shared" si="87"/>
        <v>0</v>
      </c>
      <c r="U209" s="8">
        <f t="shared" si="87"/>
        <v>0</v>
      </c>
      <c r="V209" s="8">
        <f t="shared" si="59"/>
        <v>0</v>
      </c>
      <c r="W209" s="8">
        <f t="shared" si="87"/>
        <v>0</v>
      </c>
      <c r="X209" s="8">
        <f t="shared" si="87"/>
        <v>0</v>
      </c>
      <c r="Y209" s="8">
        <f t="shared" si="87"/>
        <v>0</v>
      </c>
      <c r="Z209" s="8">
        <f t="shared" si="87"/>
        <v>0</v>
      </c>
      <c r="AA209" s="8">
        <f t="shared" si="87"/>
        <v>0</v>
      </c>
      <c r="AB209" s="8">
        <f t="shared" si="87"/>
        <v>0</v>
      </c>
      <c r="AC209" s="8">
        <f t="shared" si="87"/>
        <v>0</v>
      </c>
      <c r="AD209" s="8">
        <f t="shared" si="74"/>
        <v>0</v>
      </c>
      <c r="AE209" s="113">
        <f>AE207+AE208</f>
        <v>0</v>
      </c>
      <c r="AF209" s="113">
        <f t="shared" si="79"/>
        <v>0</v>
      </c>
    </row>
    <row r="210" spans="1:32" x14ac:dyDescent="0.3">
      <c r="A210" s="254"/>
      <c r="B210" s="268"/>
      <c r="C210" s="82" t="s">
        <v>31</v>
      </c>
      <c r="D210" s="83">
        <v>0</v>
      </c>
      <c r="E210" s="83"/>
      <c r="F210" s="83"/>
      <c r="G210" s="83"/>
      <c r="H210" s="83"/>
      <c r="I210" s="83"/>
      <c r="J210" s="84">
        <f t="shared" ref="J210" si="88">SUM(D210:I210)</f>
        <v>0</v>
      </c>
      <c r="K210" s="84"/>
      <c r="L210" s="84"/>
      <c r="M210" s="84"/>
      <c r="N210" s="84"/>
      <c r="O210" s="84"/>
      <c r="P210" s="84">
        <f t="shared" si="58"/>
        <v>0</v>
      </c>
      <c r="Q210" s="84"/>
      <c r="R210" s="84"/>
      <c r="S210" s="84"/>
      <c r="T210" s="84"/>
      <c r="U210" s="84"/>
      <c r="V210" s="84">
        <f t="shared" si="59"/>
        <v>0</v>
      </c>
      <c r="W210" s="84"/>
      <c r="X210" s="84">
        <v>0</v>
      </c>
      <c r="Y210" s="84"/>
      <c r="Z210" s="84"/>
      <c r="AA210" s="84"/>
      <c r="AB210" s="84"/>
      <c r="AC210" s="84"/>
      <c r="AD210" s="84">
        <f t="shared" si="74"/>
        <v>0</v>
      </c>
      <c r="AE210" s="111">
        <v>0</v>
      </c>
      <c r="AF210" s="111">
        <f t="shared" si="79"/>
        <v>0</v>
      </c>
    </row>
    <row r="211" spans="1:32" x14ac:dyDescent="0.3">
      <c r="A211" s="254"/>
      <c r="B211" s="268"/>
      <c r="C211" s="10" t="s">
        <v>33</v>
      </c>
      <c r="D211" s="3">
        <v>0</v>
      </c>
      <c r="E211" s="3"/>
      <c r="F211" s="3"/>
      <c r="G211" s="3"/>
      <c r="H211" s="3"/>
      <c r="I211" s="3"/>
      <c r="J211" s="20">
        <f t="shared" ref="J211:J218" si="89">SUM(D211:I211)</f>
        <v>0</v>
      </c>
      <c r="K211" s="20"/>
      <c r="L211" s="20"/>
      <c r="M211" s="20"/>
      <c r="N211" s="20"/>
      <c r="O211" s="20"/>
      <c r="P211" s="20">
        <f t="shared" si="58"/>
        <v>0</v>
      </c>
      <c r="Q211" s="20"/>
      <c r="R211" s="20"/>
      <c r="S211" s="20"/>
      <c r="T211" s="20"/>
      <c r="U211" s="20"/>
      <c r="V211" s="20">
        <f t="shared" si="59"/>
        <v>0</v>
      </c>
      <c r="W211" s="20"/>
      <c r="X211" s="20"/>
      <c r="Y211" s="20"/>
      <c r="Z211" s="20"/>
      <c r="AA211" s="20"/>
      <c r="AB211" s="20"/>
      <c r="AC211" s="20"/>
      <c r="AD211" s="20">
        <f t="shared" si="74"/>
        <v>0</v>
      </c>
      <c r="AE211" s="108">
        <v>0</v>
      </c>
      <c r="AF211" s="3">
        <f t="shared" si="79"/>
        <v>0</v>
      </c>
    </row>
    <row r="212" spans="1:32" x14ac:dyDescent="0.3">
      <c r="A212" s="254"/>
      <c r="B212" s="268"/>
      <c r="C212" s="10" t="s">
        <v>37</v>
      </c>
      <c r="D212" s="3">
        <v>0</v>
      </c>
      <c r="E212" s="3"/>
      <c r="F212" s="3"/>
      <c r="G212" s="3"/>
      <c r="H212" s="3"/>
      <c r="I212" s="3"/>
      <c r="J212" s="20">
        <f t="shared" si="89"/>
        <v>0</v>
      </c>
      <c r="K212" s="20"/>
      <c r="L212" s="20"/>
      <c r="M212" s="20"/>
      <c r="N212" s="20"/>
      <c r="O212" s="20"/>
      <c r="P212" s="20">
        <f t="shared" si="58"/>
        <v>0</v>
      </c>
      <c r="Q212" s="20"/>
      <c r="R212" s="20"/>
      <c r="S212" s="20"/>
      <c r="T212" s="20"/>
      <c r="U212" s="20"/>
      <c r="V212" s="20">
        <f t="shared" si="59"/>
        <v>0</v>
      </c>
      <c r="W212" s="20"/>
      <c r="X212" s="20"/>
      <c r="Y212" s="20"/>
      <c r="Z212" s="20"/>
      <c r="AA212" s="20"/>
      <c r="AB212" s="20"/>
      <c r="AC212" s="20"/>
      <c r="AD212" s="20">
        <f t="shared" si="74"/>
        <v>0</v>
      </c>
      <c r="AE212" s="108">
        <v>0</v>
      </c>
      <c r="AF212" s="3">
        <f t="shared" si="79"/>
        <v>0</v>
      </c>
    </row>
    <row r="213" spans="1:32" x14ac:dyDescent="0.3">
      <c r="A213" s="254"/>
      <c r="B213" s="268"/>
      <c r="C213" s="10" t="s">
        <v>40</v>
      </c>
      <c r="D213" s="3">
        <v>0</v>
      </c>
      <c r="E213" s="3"/>
      <c r="F213" s="3"/>
      <c r="G213" s="3"/>
      <c r="H213" s="3"/>
      <c r="I213" s="3"/>
      <c r="J213" s="20">
        <f t="shared" si="89"/>
        <v>0</v>
      </c>
      <c r="K213" s="20"/>
      <c r="L213" s="20"/>
      <c r="M213" s="20"/>
      <c r="N213" s="20"/>
      <c r="O213" s="20"/>
      <c r="P213" s="20">
        <f t="shared" si="58"/>
        <v>0</v>
      </c>
      <c r="Q213" s="20"/>
      <c r="R213" s="20"/>
      <c r="S213" s="20"/>
      <c r="T213" s="20"/>
      <c r="U213" s="20"/>
      <c r="V213" s="20">
        <f t="shared" si="59"/>
        <v>0</v>
      </c>
      <c r="W213" s="20"/>
      <c r="X213" s="20"/>
      <c r="Y213" s="20"/>
      <c r="Z213" s="20"/>
      <c r="AA213" s="20"/>
      <c r="AB213" s="20"/>
      <c r="AC213" s="20"/>
      <c r="AD213" s="20">
        <f t="shared" si="74"/>
        <v>0</v>
      </c>
      <c r="AE213" s="108">
        <v>0</v>
      </c>
      <c r="AF213" s="3">
        <f t="shared" si="79"/>
        <v>0</v>
      </c>
    </row>
    <row r="214" spans="1:32" x14ac:dyDescent="0.3">
      <c r="A214" s="254"/>
      <c r="B214" s="268"/>
      <c r="C214" s="10" t="s">
        <v>41</v>
      </c>
      <c r="D214" s="3">
        <v>0</v>
      </c>
      <c r="E214" s="3"/>
      <c r="F214" s="3"/>
      <c r="G214" s="3"/>
      <c r="H214" s="3"/>
      <c r="I214" s="3"/>
      <c r="J214" s="20">
        <f t="shared" si="89"/>
        <v>0</v>
      </c>
      <c r="K214" s="20"/>
      <c r="L214" s="20"/>
      <c r="M214" s="20"/>
      <c r="N214" s="20"/>
      <c r="O214" s="20"/>
      <c r="P214" s="20">
        <f t="shared" si="58"/>
        <v>0</v>
      </c>
      <c r="Q214" s="20"/>
      <c r="R214" s="20"/>
      <c r="S214" s="20"/>
      <c r="T214" s="20"/>
      <c r="U214" s="20"/>
      <c r="V214" s="20">
        <f t="shared" si="59"/>
        <v>0</v>
      </c>
      <c r="W214" s="20"/>
      <c r="X214" s="20"/>
      <c r="Y214" s="20"/>
      <c r="Z214" s="20"/>
      <c r="AA214" s="20"/>
      <c r="AB214" s="20"/>
      <c r="AC214" s="20"/>
      <c r="AD214" s="20">
        <f t="shared" si="74"/>
        <v>0</v>
      </c>
      <c r="AE214" s="108">
        <v>0</v>
      </c>
      <c r="AF214" s="3">
        <f t="shared" si="79"/>
        <v>0</v>
      </c>
    </row>
    <row r="215" spans="1:32" x14ac:dyDescent="0.3">
      <c r="A215" s="254"/>
      <c r="B215" s="268"/>
      <c r="C215" s="10" t="s">
        <v>42</v>
      </c>
      <c r="D215" s="3">
        <v>0</v>
      </c>
      <c r="E215" s="3"/>
      <c r="F215" s="3"/>
      <c r="G215" s="3"/>
      <c r="H215" s="3"/>
      <c r="I215" s="3"/>
      <c r="J215" s="20">
        <f t="shared" si="89"/>
        <v>0</v>
      </c>
      <c r="K215" s="20"/>
      <c r="L215" s="20"/>
      <c r="M215" s="20"/>
      <c r="N215" s="20"/>
      <c r="O215" s="20"/>
      <c r="P215" s="20">
        <f t="shared" si="58"/>
        <v>0</v>
      </c>
      <c r="Q215" s="20"/>
      <c r="R215" s="20"/>
      <c r="S215" s="20"/>
      <c r="T215" s="20"/>
      <c r="U215" s="20"/>
      <c r="V215" s="20">
        <f t="shared" si="59"/>
        <v>0</v>
      </c>
      <c r="W215" s="20"/>
      <c r="X215" s="20"/>
      <c r="Y215" s="20"/>
      <c r="Z215" s="20"/>
      <c r="AA215" s="20"/>
      <c r="AB215" s="20"/>
      <c r="AC215" s="20"/>
      <c r="AD215" s="20">
        <f t="shared" si="74"/>
        <v>0</v>
      </c>
      <c r="AE215" s="108">
        <v>0</v>
      </c>
      <c r="AF215" s="3">
        <f t="shared" si="79"/>
        <v>0</v>
      </c>
    </row>
    <row r="216" spans="1:32" x14ac:dyDescent="0.3">
      <c r="A216" s="254"/>
      <c r="B216" s="268"/>
      <c r="C216" s="10" t="s">
        <v>43</v>
      </c>
      <c r="D216" s="3">
        <v>0</v>
      </c>
      <c r="E216" s="3"/>
      <c r="F216" s="3"/>
      <c r="G216" s="3"/>
      <c r="H216" s="3"/>
      <c r="I216" s="3"/>
      <c r="J216" s="20">
        <f t="shared" si="89"/>
        <v>0</v>
      </c>
      <c r="K216" s="20"/>
      <c r="L216" s="20"/>
      <c r="M216" s="20"/>
      <c r="N216" s="20"/>
      <c r="O216" s="20"/>
      <c r="P216" s="20">
        <f t="shared" si="58"/>
        <v>0</v>
      </c>
      <c r="Q216" s="20"/>
      <c r="R216" s="20"/>
      <c r="S216" s="20"/>
      <c r="T216" s="20"/>
      <c r="U216" s="20"/>
      <c r="V216" s="20">
        <f t="shared" si="59"/>
        <v>0</v>
      </c>
      <c r="W216" s="20"/>
      <c r="X216" s="20"/>
      <c r="Y216" s="20"/>
      <c r="Z216" s="20"/>
      <c r="AA216" s="20"/>
      <c r="AB216" s="20"/>
      <c r="AC216" s="20"/>
      <c r="AD216" s="20">
        <f t="shared" si="74"/>
        <v>0</v>
      </c>
      <c r="AE216" s="108">
        <v>0</v>
      </c>
      <c r="AF216" s="3">
        <f t="shared" si="79"/>
        <v>0</v>
      </c>
    </row>
    <row r="217" spans="1:32" x14ac:dyDescent="0.3">
      <c r="A217" s="254"/>
      <c r="B217" s="268"/>
      <c r="C217" s="10" t="s">
        <v>44</v>
      </c>
      <c r="D217" s="3">
        <v>0</v>
      </c>
      <c r="E217" s="3"/>
      <c r="F217" s="3"/>
      <c r="G217" s="3"/>
      <c r="H217" s="3"/>
      <c r="I217" s="3"/>
      <c r="J217" s="20">
        <f t="shared" si="89"/>
        <v>0</v>
      </c>
      <c r="K217" s="20"/>
      <c r="L217" s="20"/>
      <c r="M217" s="20"/>
      <c r="N217" s="20"/>
      <c r="O217" s="20"/>
      <c r="P217" s="20">
        <f t="shared" ref="P217:P256" si="90">SUM(J217:O217)</f>
        <v>0</v>
      </c>
      <c r="Q217" s="20"/>
      <c r="R217" s="20"/>
      <c r="S217" s="20"/>
      <c r="T217" s="20"/>
      <c r="U217" s="20"/>
      <c r="V217" s="20">
        <f t="shared" si="59"/>
        <v>0</v>
      </c>
      <c r="W217" s="20"/>
      <c r="X217" s="20"/>
      <c r="Y217" s="20"/>
      <c r="Z217" s="20"/>
      <c r="AA217" s="20"/>
      <c r="AB217" s="20"/>
      <c r="AC217" s="20"/>
      <c r="AD217" s="20">
        <f t="shared" si="74"/>
        <v>0</v>
      </c>
      <c r="AE217" s="108">
        <v>0</v>
      </c>
      <c r="AF217" s="3">
        <f t="shared" si="79"/>
        <v>0</v>
      </c>
    </row>
    <row r="218" spans="1:32" x14ac:dyDescent="0.3">
      <c r="A218" s="254"/>
      <c r="B218" s="268"/>
      <c r="C218" s="10" t="s">
        <v>45</v>
      </c>
      <c r="D218" s="3">
        <v>0</v>
      </c>
      <c r="E218" s="3"/>
      <c r="F218" s="3"/>
      <c r="G218" s="3"/>
      <c r="H218" s="3"/>
      <c r="I218" s="3"/>
      <c r="J218" s="20">
        <f t="shared" si="89"/>
        <v>0</v>
      </c>
      <c r="K218" s="20"/>
      <c r="L218" s="20"/>
      <c r="M218" s="20"/>
      <c r="N218" s="20"/>
      <c r="O218" s="20"/>
      <c r="P218" s="20">
        <f t="shared" si="90"/>
        <v>0</v>
      </c>
      <c r="Q218" s="20"/>
      <c r="R218" s="20"/>
      <c r="S218" s="20"/>
      <c r="T218" s="20"/>
      <c r="U218" s="20"/>
      <c r="V218" s="20">
        <f t="shared" ref="V218:V254" si="91">SUM(P218:U218)</f>
        <v>0</v>
      </c>
      <c r="W218" s="20"/>
      <c r="X218" s="20"/>
      <c r="Y218" s="20"/>
      <c r="Z218" s="20"/>
      <c r="AA218" s="20"/>
      <c r="AB218" s="20"/>
      <c r="AC218" s="20"/>
      <c r="AD218" s="20">
        <f t="shared" si="74"/>
        <v>0</v>
      </c>
      <c r="AE218" s="108">
        <v>0</v>
      </c>
      <c r="AF218" s="3">
        <f t="shared" si="79"/>
        <v>0</v>
      </c>
    </row>
    <row r="219" spans="1:32" x14ac:dyDescent="0.3">
      <c r="A219" s="254"/>
      <c r="B219" s="268"/>
      <c r="C219" s="6" t="s">
        <v>49</v>
      </c>
      <c r="D219" s="7">
        <f>SUM(D211:D218)</f>
        <v>0</v>
      </c>
      <c r="E219" s="7">
        <f t="shared" ref="E219:AE219" si="92">SUM(E211:E218)</f>
        <v>0</v>
      </c>
      <c r="F219" s="7">
        <f t="shared" si="92"/>
        <v>0</v>
      </c>
      <c r="G219" s="7">
        <f t="shared" si="92"/>
        <v>0</v>
      </c>
      <c r="H219" s="7">
        <f t="shared" si="92"/>
        <v>0</v>
      </c>
      <c r="I219" s="7">
        <f t="shared" si="92"/>
        <v>0</v>
      </c>
      <c r="J219" s="7">
        <f>SUM(J211:J218)</f>
        <v>0</v>
      </c>
      <c r="K219" s="7">
        <f t="shared" ref="K219:N219" si="93">SUM(K211:K218)</f>
        <v>0</v>
      </c>
      <c r="L219" s="7">
        <f t="shared" si="93"/>
        <v>0</v>
      </c>
      <c r="M219" s="7">
        <f t="shared" si="93"/>
        <v>0</v>
      </c>
      <c r="N219" s="7">
        <f t="shared" si="93"/>
        <v>0</v>
      </c>
      <c r="O219" s="7"/>
      <c r="P219" s="7">
        <f t="shared" si="90"/>
        <v>0</v>
      </c>
      <c r="Q219" s="7">
        <f>SUM(Q211:Q218)</f>
        <v>0</v>
      </c>
      <c r="R219" s="7">
        <f t="shared" ref="R219:AC219" si="94">SUM(R211:R218)</f>
        <v>0</v>
      </c>
      <c r="S219" s="7">
        <f t="shared" si="94"/>
        <v>0</v>
      </c>
      <c r="T219" s="7">
        <f t="shared" si="94"/>
        <v>0</v>
      </c>
      <c r="U219" s="7">
        <f t="shared" si="94"/>
        <v>0</v>
      </c>
      <c r="V219" s="7">
        <f t="shared" si="91"/>
        <v>0</v>
      </c>
      <c r="W219" s="7">
        <f t="shared" si="94"/>
        <v>0</v>
      </c>
      <c r="X219" s="7">
        <f>SUM(X211:X218)</f>
        <v>0</v>
      </c>
      <c r="Y219" s="7">
        <f t="shared" ref="Y219:Z219" si="95">SUM(Y211:Y218)</f>
        <v>0</v>
      </c>
      <c r="Z219" s="7">
        <f t="shared" si="95"/>
        <v>0</v>
      </c>
      <c r="AA219" s="7">
        <f t="shared" si="94"/>
        <v>0</v>
      </c>
      <c r="AB219" s="7">
        <f t="shared" si="94"/>
        <v>0</v>
      </c>
      <c r="AC219" s="7">
        <f t="shared" si="94"/>
        <v>0</v>
      </c>
      <c r="AD219" s="7">
        <f>SUM(V219:AC219)</f>
        <v>0</v>
      </c>
      <c r="AE219" s="110">
        <f t="shared" si="92"/>
        <v>0</v>
      </c>
      <c r="AF219" s="110">
        <f t="shared" si="79"/>
        <v>0</v>
      </c>
    </row>
    <row r="220" spans="1:32" x14ac:dyDescent="0.3">
      <c r="A220" s="254"/>
      <c r="B220" s="268"/>
      <c r="C220" s="10" t="s">
        <v>56</v>
      </c>
      <c r="D220" s="3">
        <v>0</v>
      </c>
      <c r="E220" s="3"/>
      <c r="F220" s="3"/>
      <c r="G220" s="3"/>
      <c r="H220" s="3"/>
      <c r="I220" s="3"/>
      <c r="J220" s="20">
        <f t="shared" ref="J220:J222" si="96">SUM(D220:I220)</f>
        <v>0</v>
      </c>
      <c r="K220" s="20"/>
      <c r="L220" s="20"/>
      <c r="M220" s="20"/>
      <c r="N220" s="20"/>
      <c r="O220" s="20"/>
      <c r="P220" s="20">
        <f t="shared" si="90"/>
        <v>0</v>
      </c>
      <c r="Q220" s="20"/>
      <c r="R220" s="20"/>
      <c r="S220" s="20"/>
      <c r="T220" s="20"/>
      <c r="U220" s="20"/>
      <c r="V220" s="20">
        <f t="shared" si="91"/>
        <v>0</v>
      </c>
      <c r="W220" s="20"/>
      <c r="X220" s="20"/>
      <c r="Y220" s="20"/>
      <c r="Z220" s="20"/>
      <c r="AA220" s="20"/>
      <c r="AB220" s="20"/>
      <c r="AC220" s="20"/>
      <c r="AD220" s="20">
        <f t="shared" si="74"/>
        <v>0</v>
      </c>
      <c r="AE220" s="108">
        <v>0</v>
      </c>
      <c r="AF220" s="3">
        <f t="shared" si="79"/>
        <v>0</v>
      </c>
    </row>
    <row r="221" spans="1:32" x14ac:dyDescent="0.3">
      <c r="A221" s="254"/>
      <c r="B221" s="268"/>
      <c r="C221" s="10" t="s">
        <v>50</v>
      </c>
      <c r="D221" s="3">
        <v>0</v>
      </c>
      <c r="E221" s="3"/>
      <c r="F221" s="3"/>
      <c r="G221" s="3"/>
      <c r="H221" s="3"/>
      <c r="I221" s="3"/>
      <c r="J221" s="20">
        <f t="shared" si="96"/>
        <v>0</v>
      </c>
      <c r="K221" s="20"/>
      <c r="L221" s="20"/>
      <c r="M221" s="20"/>
      <c r="N221" s="20"/>
      <c r="O221" s="20"/>
      <c r="P221" s="20">
        <f t="shared" si="90"/>
        <v>0</v>
      </c>
      <c r="Q221" s="20"/>
      <c r="R221" s="20"/>
      <c r="S221" s="20"/>
      <c r="T221" s="20"/>
      <c r="U221" s="20"/>
      <c r="V221" s="20">
        <f t="shared" si="91"/>
        <v>0</v>
      </c>
      <c r="W221" s="20"/>
      <c r="X221" s="20"/>
      <c r="Y221" s="20"/>
      <c r="Z221" s="20"/>
      <c r="AA221" s="20"/>
      <c r="AB221" s="20"/>
      <c r="AC221" s="20"/>
      <c r="AD221" s="20">
        <f t="shared" si="74"/>
        <v>0</v>
      </c>
      <c r="AE221" s="108">
        <v>0</v>
      </c>
      <c r="AF221" s="3">
        <f t="shared" si="79"/>
        <v>0</v>
      </c>
    </row>
    <row r="222" spans="1:32" x14ac:dyDescent="0.3">
      <c r="A222" s="254"/>
      <c r="B222" s="268"/>
      <c r="C222" s="10" t="s">
        <v>51</v>
      </c>
      <c r="D222" s="3">
        <v>0</v>
      </c>
      <c r="E222" s="3"/>
      <c r="F222" s="3"/>
      <c r="G222" s="3"/>
      <c r="H222" s="3"/>
      <c r="I222" s="3"/>
      <c r="J222" s="20">
        <f t="shared" si="96"/>
        <v>0</v>
      </c>
      <c r="K222" s="20"/>
      <c r="L222" s="20"/>
      <c r="M222" s="20"/>
      <c r="N222" s="20"/>
      <c r="O222" s="20"/>
      <c r="P222" s="20">
        <f t="shared" si="90"/>
        <v>0</v>
      </c>
      <c r="Q222" s="20"/>
      <c r="R222" s="20"/>
      <c r="S222" s="20"/>
      <c r="T222" s="20"/>
      <c r="U222" s="20"/>
      <c r="V222" s="20">
        <f t="shared" si="91"/>
        <v>0</v>
      </c>
      <c r="W222" s="20"/>
      <c r="X222" s="20"/>
      <c r="Y222" s="20"/>
      <c r="Z222" s="20"/>
      <c r="AA222" s="20"/>
      <c r="AB222" s="20"/>
      <c r="AC222" s="20"/>
      <c r="AD222" s="20">
        <f t="shared" si="74"/>
        <v>0</v>
      </c>
      <c r="AE222" s="108">
        <v>0</v>
      </c>
      <c r="AF222" s="3">
        <f t="shared" si="79"/>
        <v>0</v>
      </c>
    </row>
    <row r="223" spans="1:32" x14ac:dyDescent="0.3">
      <c r="A223" s="254"/>
      <c r="B223" s="268"/>
      <c r="C223" s="6" t="s">
        <v>52</v>
      </c>
      <c r="D223" s="7">
        <f>SUM(D220:D222)</f>
        <v>0</v>
      </c>
      <c r="E223" s="7">
        <f t="shared" ref="E223:AE223" si="97">SUM(E220:E222)</f>
        <v>0</v>
      </c>
      <c r="F223" s="7">
        <f t="shared" si="97"/>
        <v>0</v>
      </c>
      <c r="G223" s="7">
        <f t="shared" si="97"/>
        <v>0</v>
      </c>
      <c r="H223" s="7">
        <f t="shared" si="97"/>
        <v>0</v>
      </c>
      <c r="I223" s="7">
        <f t="shared" si="97"/>
        <v>0</v>
      </c>
      <c r="J223" s="7">
        <f t="shared" si="97"/>
        <v>0</v>
      </c>
      <c r="K223" s="7">
        <f t="shared" si="97"/>
        <v>0</v>
      </c>
      <c r="L223" s="7">
        <f t="shared" si="97"/>
        <v>0</v>
      </c>
      <c r="M223" s="7">
        <f t="shared" si="97"/>
        <v>0</v>
      </c>
      <c r="N223" s="7">
        <f t="shared" si="97"/>
        <v>0</v>
      </c>
      <c r="O223" s="7"/>
      <c r="P223" s="7">
        <f t="shared" si="90"/>
        <v>0</v>
      </c>
      <c r="Q223" s="7">
        <f>SUM(Q220:Q222)</f>
        <v>0</v>
      </c>
      <c r="R223" s="7">
        <f t="shared" ref="R223:AC223" si="98">SUM(R220:R222)</f>
        <v>0</v>
      </c>
      <c r="S223" s="7">
        <f t="shared" si="98"/>
        <v>0</v>
      </c>
      <c r="T223" s="7">
        <f t="shared" si="98"/>
        <v>0</v>
      </c>
      <c r="U223" s="7">
        <f t="shared" si="98"/>
        <v>0</v>
      </c>
      <c r="V223" s="7">
        <f t="shared" si="91"/>
        <v>0</v>
      </c>
      <c r="W223" s="7">
        <f t="shared" si="98"/>
        <v>0</v>
      </c>
      <c r="X223" s="7">
        <f t="shared" si="98"/>
        <v>0</v>
      </c>
      <c r="Y223" s="7">
        <f t="shared" si="98"/>
        <v>0</v>
      </c>
      <c r="Z223" s="7">
        <f t="shared" si="98"/>
        <v>0</v>
      </c>
      <c r="AA223" s="7">
        <f t="shared" si="98"/>
        <v>0</v>
      </c>
      <c r="AB223" s="7">
        <f t="shared" si="98"/>
        <v>0</v>
      </c>
      <c r="AC223" s="7">
        <f t="shared" si="98"/>
        <v>0</v>
      </c>
      <c r="AD223" s="7">
        <f t="shared" si="74"/>
        <v>0</v>
      </c>
      <c r="AE223" s="110">
        <f t="shared" si="97"/>
        <v>0</v>
      </c>
      <c r="AF223" s="110">
        <f t="shared" si="79"/>
        <v>0</v>
      </c>
    </row>
    <row r="224" spans="1:32" x14ac:dyDescent="0.3">
      <c r="A224" s="254"/>
      <c r="B224" s="265"/>
      <c r="C224" s="10" t="s">
        <v>57</v>
      </c>
      <c r="D224" s="3">
        <v>0</v>
      </c>
      <c r="E224" s="3"/>
      <c r="F224" s="3"/>
      <c r="G224" s="3"/>
      <c r="H224" s="3"/>
      <c r="I224" s="3"/>
      <c r="J224" s="20">
        <f t="shared" ref="J224" si="99">SUM(D224:I224)</f>
        <v>0</v>
      </c>
      <c r="K224" s="20"/>
      <c r="L224" s="20"/>
      <c r="M224" s="20"/>
      <c r="N224" s="20"/>
      <c r="O224" s="20"/>
      <c r="P224" s="20">
        <f t="shared" si="90"/>
        <v>0</v>
      </c>
      <c r="Q224" s="20"/>
      <c r="R224" s="20"/>
      <c r="S224" s="20"/>
      <c r="T224" s="20"/>
      <c r="U224" s="20"/>
      <c r="V224" s="20">
        <f t="shared" si="91"/>
        <v>0</v>
      </c>
      <c r="W224" s="20"/>
      <c r="X224" s="20"/>
      <c r="Y224" s="20"/>
      <c r="Z224" s="20"/>
      <c r="AA224" s="20"/>
      <c r="AB224" s="20"/>
      <c r="AC224" s="20"/>
      <c r="AD224" s="20">
        <f t="shared" si="74"/>
        <v>0</v>
      </c>
      <c r="AE224" s="108">
        <v>0</v>
      </c>
      <c r="AF224" s="3">
        <f t="shared" si="79"/>
        <v>0</v>
      </c>
    </row>
    <row r="225" spans="1:32" x14ac:dyDescent="0.3">
      <c r="A225" s="319" t="s">
        <v>81</v>
      </c>
      <c r="B225" s="320"/>
      <c r="C225" s="321"/>
      <c r="D225" s="80">
        <f>SUM(D209+D210+D219+D223+D224)</f>
        <v>0</v>
      </c>
      <c r="E225" s="80">
        <f t="shared" ref="E225:AE225" si="100">SUM(E209+E210+E219+E223+E224)</f>
        <v>0</v>
      </c>
      <c r="F225" s="80">
        <f t="shared" si="100"/>
        <v>0</v>
      </c>
      <c r="G225" s="80">
        <f t="shared" si="100"/>
        <v>0</v>
      </c>
      <c r="H225" s="80">
        <f t="shared" si="100"/>
        <v>0</v>
      </c>
      <c r="I225" s="80">
        <f t="shared" si="100"/>
        <v>0</v>
      </c>
      <c r="J225" s="80">
        <f>SUM(J209+J210+J219+J223+J224)</f>
        <v>0</v>
      </c>
      <c r="K225" s="80">
        <f t="shared" ref="K225:N225" si="101">SUM(K209+K210+K219+K223+K224)</f>
        <v>0</v>
      </c>
      <c r="L225" s="80">
        <f t="shared" si="101"/>
        <v>0</v>
      </c>
      <c r="M225" s="80">
        <f t="shared" si="101"/>
        <v>0</v>
      </c>
      <c r="N225" s="80">
        <f t="shared" si="101"/>
        <v>0</v>
      </c>
      <c r="O225" s="80"/>
      <c r="P225" s="80">
        <f t="shared" si="90"/>
        <v>0</v>
      </c>
      <c r="Q225" s="80">
        <f t="shared" si="100"/>
        <v>0</v>
      </c>
      <c r="R225" s="80">
        <f t="shared" si="100"/>
        <v>0</v>
      </c>
      <c r="S225" s="80">
        <f t="shared" si="100"/>
        <v>0</v>
      </c>
      <c r="T225" s="80">
        <f t="shared" si="100"/>
        <v>0</v>
      </c>
      <c r="U225" s="80">
        <f t="shared" si="100"/>
        <v>0</v>
      </c>
      <c r="V225" s="80">
        <f t="shared" si="91"/>
        <v>0</v>
      </c>
      <c r="W225" s="80">
        <f t="shared" si="100"/>
        <v>0</v>
      </c>
      <c r="X225" s="80">
        <f t="shared" si="100"/>
        <v>0</v>
      </c>
      <c r="Y225" s="80">
        <f t="shared" si="100"/>
        <v>0</v>
      </c>
      <c r="Z225" s="80">
        <f t="shared" si="100"/>
        <v>0</v>
      </c>
      <c r="AA225" s="80">
        <f t="shared" si="100"/>
        <v>0</v>
      </c>
      <c r="AB225" s="80">
        <f t="shared" si="100"/>
        <v>0</v>
      </c>
      <c r="AC225" s="80">
        <f t="shared" si="100"/>
        <v>0</v>
      </c>
      <c r="AD225" s="80">
        <f t="shared" si="74"/>
        <v>0</v>
      </c>
      <c r="AE225" s="112">
        <f t="shared" si="100"/>
        <v>0</v>
      </c>
      <c r="AF225" s="112">
        <f t="shared" si="79"/>
        <v>0</v>
      </c>
    </row>
    <row r="226" spans="1:32" x14ac:dyDescent="0.3">
      <c r="A226" s="262" t="s">
        <v>85</v>
      </c>
      <c r="B226" s="264" t="s">
        <v>46</v>
      </c>
      <c r="C226" s="12" t="s">
        <v>24</v>
      </c>
      <c r="D226" s="3">
        <v>14434314</v>
      </c>
      <c r="E226" s="3">
        <f>-184500-100453</f>
        <v>-284953</v>
      </c>
      <c r="F226" s="3"/>
      <c r="G226" s="3"/>
      <c r="H226" s="3"/>
      <c r="I226" s="20"/>
      <c r="J226" s="20">
        <f t="shared" ref="J226:J233" si="102">SUM(D226:I226)</f>
        <v>14149361</v>
      </c>
      <c r="K226" s="20">
        <v>-57213</v>
      </c>
      <c r="L226" s="20"/>
      <c r="M226" s="20"/>
      <c r="N226" s="20"/>
      <c r="O226" s="20"/>
      <c r="P226" s="20">
        <f t="shared" si="90"/>
        <v>14092148</v>
      </c>
      <c r="Q226" s="20">
        <f>-35000-70560-160000</f>
        <v>-265560</v>
      </c>
      <c r="R226" s="20"/>
      <c r="S226" s="20"/>
      <c r="T226" s="20"/>
      <c r="U226" s="20"/>
      <c r="V226" s="20">
        <f t="shared" si="91"/>
        <v>13826588</v>
      </c>
      <c r="W226" s="20">
        <v>-33950</v>
      </c>
      <c r="X226" s="20"/>
      <c r="Y226" s="20"/>
      <c r="Z226" s="20"/>
      <c r="AA226" s="20"/>
      <c r="AB226" s="20"/>
      <c r="AC226" s="20"/>
      <c r="AD226" s="20">
        <f t="shared" si="74"/>
        <v>13792638</v>
      </c>
      <c r="AE226" s="108">
        <v>12360374</v>
      </c>
      <c r="AF226" s="3">
        <f t="shared" si="79"/>
        <v>1432264</v>
      </c>
    </row>
    <row r="227" spans="1:32" x14ac:dyDescent="0.3">
      <c r="A227" s="285"/>
      <c r="B227" s="268"/>
      <c r="C227" s="12" t="s">
        <v>48</v>
      </c>
      <c r="D227" s="3">
        <v>889200</v>
      </c>
      <c r="E227" s="3"/>
      <c r="F227" s="3"/>
      <c r="G227" s="3"/>
      <c r="H227" s="3"/>
      <c r="I227" s="20"/>
      <c r="J227" s="20">
        <f>D227</f>
        <v>889200</v>
      </c>
      <c r="K227" s="20"/>
      <c r="L227" s="20"/>
      <c r="M227" s="20"/>
      <c r="N227" s="20"/>
      <c r="O227" s="20"/>
      <c r="P227" s="20">
        <f t="shared" si="90"/>
        <v>889200</v>
      </c>
      <c r="Q227" s="20"/>
      <c r="R227" s="20"/>
      <c r="S227" s="20"/>
      <c r="T227" s="20"/>
      <c r="U227" s="20"/>
      <c r="V227" s="20">
        <f t="shared" si="91"/>
        <v>889200</v>
      </c>
      <c r="W227" s="20"/>
      <c r="X227" s="20"/>
      <c r="Y227" s="20"/>
      <c r="Z227" s="20"/>
      <c r="AA227" s="20"/>
      <c r="AB227" s="20"/>
      <c r="AC227" s="20"/>
      <c r="AD227" s="20">
        <f t="shared" si="74"/>
        <v>889200</v>
      </c>
      <c r="AE227" s="108">
        <v>889200</v>
      </c>
      <c r="AF227" s="3">
        <f t="shared" si="79"/>
        <v>0</v>
      </c>
    </row>
    <row r="228" spans="1:32" x14ac:dyDescent="0.3">
      <c r="A228" s="285"/>
      <c r="B228" s="268"/>
      <c r="C228" s="12" t="s">
        <v>25</v>
      </c>
      <c r="D228" s="3">
        <v>400000</v>
      </c>
      <c r="E228" s="3"/>
      <c r="F228" s="3"/>
      <c r="G228" s="3"/>
      <c r="H228" s="3"/>
      <c r="I228" s="20"/>
      <c r="J228" s="20">
        <f t="shared" si="102"/>
        <v>400000</v>
      </c>
      <c r="K228" s="20"/>
      <c r="L228" s="20"/>
      <c r="M228" s="20"/>
      <c r="N228" s="20"/>
      <c r="O228" s="20"/>
      <c r="P228" s="20">
        <f t="shared" si="90"/>
        <v>400000</v>
      </c>
      <c r="Q228" s="20">
        <v>160000</v>
      </c>
      <c r="R228" s="20"/>
      <c r="S228" s="20"/>
      <c r="T228" s="20"/>
      <c r="U228" s="20"/>
      <c r="V228" s="20">
        <f t="shared" si="91"/>
        <v>560000</v>
      </c>
      <c r="W228" s="20">
        <f>33950-58950</f>
        <v>-25000</v>
      </c>
      <c r="X228" s="20"/>
      <c r="Y228" s="20"/>
      <c r="Z228" s="20"/>
      <c r="AA228" s="20"/>
      <c r="AB228" s="20"/>
      <c r="AC228" s="20"/>
      <c r="AD228" s="20">
        <f t="shared" si="74"/>
        <v>535000</v>
      </c>
      <c r="AE228" s="108">
        <v>535000</v>
      </c>
      <c r="AF228" s="3">
        <f t="shared" si="79"/>
        <v>0</v>
      </c>
    </row>
    <row r="229" spans="1:32" x14ac:dyDescent="0.3">
      <c r="A229" s="285"/>
      <c r="B229" s="268"/>
      <c r="C229" s="12" t="s">
        <v>26</v>
      </c>
      <c r="D229" s="3">
        <v>26700</v>
      </c>
      <c r="E229" s="3"/>
      <c r="F229" s="3"/>
      <c r="G229" s="3"/>
      <c r="H229" s="3"/>
      <c r="I229" s="20"/>
      <c r="J229" s="20">
        <f t="shared" si="102"/>
        <v>26700</v>
      </c>
      <c r="K229" s="20"/>
      <c r="L229" s="20"/>
      <c r="M229" s="20"/>
      <c r="N229" s="20"/>
      <c r="O229" s="20"/>
      <c r="P229" s="20">
        <f t="shared" si="90"/>
        <v>26700</v>
      </c>
      <c r="Q229" s="20"/>
      <c r="R229" s="20"/>
      <c r="S229" s="20"/>
      <c r="T229" s="20"/>
      <c r="U229" s="20"/>
      <c r="V229" s="20">
        <f t="shared" si="91"/>
        <v>26700</v>
      </c>
      <c r="W229" s="20"/>
      <c r="X229" s="20"/>
      <c r="Y229" s="20"/>
      <c r="Z229" s="20"/>
      <c r="AA229" s="20"/>
      <c r="AB229" s="20"/>
      <c r="AC229" s="20"/>
      <c r="AD229" s="20">
        <f t="shared" si="74"/>
        <v>26700</v>
      </c>
      <c r="AE229" s="108">
        <v>26700</v>
      </c>
      <c r="AF229" s="3">
        <f t="shared" si="79"/>
        <v>0</v>
      </c>
    </row>
    <row r="230" spans="1:32" x14ac:dyDescent="0.3">
      <c r="A230" s="285"/>
      <c r="B230" s="268"/>
      <c r="C230" s="2" t="s">
        <v>27</v>
      </c>
      <c r="D230" s="3">
        <v>94000</v>
      </c>
      <c r="E230" s="3"/>
      <c r="F230" s="3"/>
      <c r="G230" s="3"/>
      <c r="H230" s="3"/>
      <c r="I230" s="20"/>
      <c r="J230" s="20">
        <f t="shared" si="102"/>
        <v>94000</v>
      </c>
      <c r="K230" s="20"/>
      <c r="L230" s="20"/>
      <c r="M230" s="20"/>
      <c r="N230" s="20"/>
      <c r="O230" s="20"/>
      <c r="P230" s="20">
        <f t="shared" si="90"/>
        <v>94000</v>
      </c>
      <c r="Q230" s="20">
        <v>35000</v>
      </c>
      <c r="R230" s="20"/>
      <c r="S230" s="20"/>
      <c r="T230" s="20"/>
      <c r="U230" s="20"/>
      <c r="V230" s="20">
        <f t="shared" si="91"/>
        <v>129000</v>
      </c>
      <c r="W230" s="20">
        <v>58950</v>
      </c>
      <c r="X230" s="20"/>
      <c r="Y230" s="20"/>
      <c r="Z230" s="20"/>
      <c r="AA230" s="20"/>
      <c r="AB230" s="20"/>
      <c r="AC230" s="20"/>
      <c r="AD230" s="20">
        <f t="shared" si="74"/>
        <v>187950</v>
      </c>
      <c r="AE230" s="108">
        <v>182700</v>
      </c>
      <c r="AF230" s="3">
        <f t="shared" si="79"/>
        <v>5250</v>
      </c>
    </row>
    <row r="231" spans="1:32" x14ac:dyDescent="0.3">
      <c r="A231" s="285"/>
      <c r="B231" s="268"/>
      <c r="C231" s="2" t="s">
        <v>28</v>
      </c>
      <c r="D231" s="3">
        <v>48000</v>
      </c>
      <c r="E231" s="3"/>
      <c r="F231" s="3"/>
      <c r="G231" s="3"/>
      <c r="H231" s="3"/>
      <c r="I231" s="20"/>
      <c r="J231" s="20">
        <f t="shared" si="102"/>
        <v>48000</v>
      </c>
      <c r="K231" s="20"/>
      <c r="L231" s="20"/>
      <c r="M231" s="20"/>
      <c r="N231" s="20"/>
      <c r="O231" s="20"/>
      <c r="P231" s="20">
        <f t="shared" si="90"/>
        <v>48000</v>
      </c>
      <c r="Q231" s="20">
        <v>-48000</v>
      </c>
      <c r="R231" s="20"/>
      <c r="S231" s="20"/>
      <c r="T231" s="20"/>
      <c r="U231" s="20"/>
      <c r="V231" s="20">
        <f t="shared" si="91"/>
        <v>0</v>
      </c>
      <c r="W231" s="20"/>
      <c r="X231" s="20"/>
      <c r="Y231" s="20"/>
      <c r="Z231" s="20"/>
      <c r="AA231" s="20"/>
      <c r="AB231" s="20"/>
      <c r="AC231" s="20"/>
      <c r="AD231" s="20">
        <f t="shared" si="74"/>
        <v>0</v>
      </c>
      <c r="AE231" s="108">
        <v>0</v>
      </c>
      <c r="AF231" s="3">
        <f t="shared" si="79"/>
        <v>0</v>
      </c>
    </row>
    <row r="232" spans="1:32" x14ac:dyDescent="0.3">
      <c r="A232" s="285"/>
      <c r="B232" s="268"/>
      <c r="C232" s="2" t="s">
        <v>29</v>
      </c>
      <c r="D232" s="3">
        <v>297600</v>
      </c>
      <c r="E232" s="3">
        <f>184500+100453</f>
        <v>284953</v>
      </c>
      <c r="F232" s="3"/>
      <c r="G232" s="3"/>
      <c r="H232" s="3"/>
      <c r="I232" s="20"/>
      <c r="J232" s="20">
        <f t="shared" si="102"/>
        <v>582553</v>
      </c>
      <c r="K232" s="20">
        <v>57213</v>
      </c>
      <c r="L232" s="20"/>
      <c r="M232" s="20"/>
      <c r="N232" s="20"/>
      <c r="O232" s="20"/>
      <c r="P232" s="20">
        <f t="shared" si="90"/>
        <v>639766</v>
      </c>
      <c r="Q232" s="20">
        <f>48000+70560</f>
        <v>118560</v>
      </c>
      <c r="R232" s="20"/>
      <c r="S232" s="20"/>
      <c r="T232" s="20"/>
      <c r="U232" s="20"/>
      <c r="V232" s="20">
        <f t="shared" si="91"/>
        <v>758326</v>
      </c>
      <c r="W232" s="20"/>
      <c r="X232" s="20"/>
      <c r="Y232" s="20"/>
      <c r="Z232" s="20"/>
      <c r="AA232" s="20"/>
      <c r="AB232" s="20"/>
      <c r="AC232" s="20"/>
      <c r="AD232" s="20">
        <f t="shared" si="74"/>
        <v>758326</v>
      </c>
      <c r="AE232" s="108">
        <v>575286</v>
      </c>
      <c r="AF232" s="3">
        <f t="shared" si="79"/>
        <v>183040</v>
      </c>
    </row>
    <row r="233" spans="1:32" x14ac:dyDescent="0.3">
      <c r="A233" s="285"/>
      <c r="B233" s="268"/>
      <c r="C233" s="2" t="s">
        <v>30</v>
      </c>
      <c r="D233" s="3">
        <v>50000</v>
      </c>
      <c r="E233" s="3"/>
      <c r="F233" s="3"/>
      <c r="G233" s="3"/>
      <c r="H233" s="3"/>
      <c r="I233" s="20"/>
      <c r="J233" s="20">
        <f t="shared" si="102"/>
        <v>50000</v>
      </c>
      <c r="K233" s="20"/>
      <c r="L233" s="20"/>
      <c r="M233" s="20"/>
      <c r="N233" s="20"/>
      <c r="O233" s="20"/>
      <c r="P233" s="20">
        <f t="shared" si="90"/>
        <v>50000</v>
      </c>
      <c r="Q233" s="20"/>
      <c r="R233" s="20"/>
      <c r="S233" s="20"/>
      <c r="T233" s="20"/>
      <c r="U233" s="20"/>
      <c r="V233" s="20">
        <f t="shared" si="91"/>
        <v>50000</v>
      </c>
      <c r="W233" s="20"/>
      <c r="X233" s="20"/>
      <c r="Y233" s="20"/>
      <c r="Z233" s="20"/>
      <c r="AA233" s="20"/>
      <c r="AB233" s="20"/>
      <c r="AC233" s="20"/>
      <c r="AD233" s="20">
        <f t="shared" si="74"/>
        <v>50000</v>
      </c>
      <c r="AE233" s="108">
        <v>0</v>
      </c>
      <c r="AF233" s="3">
        <f t="shared" si="79"/>
        <v>50000</v>
      </c>
    </row>
    <row r="234" spans="1:32" x14ac:dyDescent="0.3">
      <c r="A234" s="285"/>
      <c r="B234" s="268"/>
      <c r="C234" s="26" t="s">
        <v>53</v>
      </c>
      <c r="D234" s="7">
        <f>SUM(D226:D233)</f>
        <v>16239814</v>
      </c>
      <c r="E234" s="7">
        <f t="shared" ref="E234:N234" si="103">SUM(E226:E232)</f>
        <v>0</v>
      </c>
      <c r="F234" s="7">
        <f t="shared" si="103"/>
        <v>0</v>
      </c>
      <c r="G234" s="7">
        <f t="shared" si="103"/>
        <v>0</v>
      </c>
      <c r="H234" s="7">
        <f t="shared" si="103"/>
        <v>0</v>
      </c>
      <c r="I234" s="7">
        <f t="shared" si="103"/>
        <v>0</v>
      </c>
      <c r="J234" s="7">
        <f>SUM(J226:J233)</f>
        <v>16239814</v>
      </c>
      <c r="K234" s="7">
        <f t="shared" si="103"/>
        <v>0</v>
      </c>
      <c r="L234" s="7">
        <f t="shared" si="103"/>
        <v>0</v>
      </c>
      <c r="M234" s="7">
        <f t="shared" si="103"/>
        <v>0</v>
      </c>
      <c r="N234" s="7">
        <f t="shared" si="103"/>
        <v>0</v>
      </c>
      <c r="O234" s="7"/>
      <c r="P234" s="7">
        <f t="shared" si="90"/>
        <v>16239814</v>
      </c>
      <c r="Q234" s="7">
        <f>SUM(Q226:Q232)</f>
        <v>0</v>
      </c>
      <c r="R234" s="7">
        <f t="shared" ref="R234:AC234" si="104">SUM(R226:R232)</f>
        <v>0</v>
      </c>
      <c r="S234" s="7">
        <f t="shared" si="104"/>
        <v>0</v>
      </c>
      <c r="T234" s="7">
        <f t="shared" si="104"/>
        <v>0</v>
      </c>
      <c r="U234" s="7">
        <f t="shared" si="104"/>
        <v>0</v>
      </c>
      <c r="V234" s="7">
        <f t="shared" si="91"/>
        <v>16239814</v>
      </c>
      <c r="W234" s="7">
        <f t="shared" si="104"/>
        <v>0</v>
      </c>
      <c r="X234" s="7">
        <f t="shared" si="104"/>
        <v>0</v>
      </c>
      <c r="Y234" s="7"/>
      <c r="Z234" s="7"/>
      <c r="AA234" s="7">
        <f t="shared" si="104"/>
        <v>0</v>
      </c>
      <c r="AB234" s="7">
        <f t="shared" si="104"/>
        <v>0</v>
      </c>
      <c r="AC234" s="7">
        <f t="shared" si="104"/>
        <v>0</v>
      </c>
      <c r="AD234" s="7">
        <f t="shared" si="74"/>
        <v>16239814</v>
      </c>
      <c r="AE234" s="110">
        <f>SUM(AE226:AE233)</f>
        <v>14569260</v>
      </c>
      <c r="AF234" s="110">
        <f t="shared" si="79"/>
        <v>1670554</v>
      </c>
    </row>
    <row r="235" spans="1:32" x14ac:dyDescent="0.3">
      <c r="A235" s="285"/>
      <c r="B235" s="268"/>
      <c r="C235" s="86" t="s">
        <v>31</v>
      </c>
      <c r="D235" s="87">
        <v>2551341</v>
      </c>
      <c r="E235" s="88"/>
      <c r="F235" s="88"/>
      <c r="G235" s="88"/>
      <c r="H235" s="88"/>
      <c r="I235" s="194"/>
      <c r="J235" s="84">
        <f t="shared" ref="J235" si="105">SUM(D235:I235)</f>
        <v>2551341</v>
      </c>
      <c r="K235" s="84"/>
      <c r="L235" s="84"/>
      <c r="M235" s="84"/>
      <c r="N235" s="84"/>
      <c r="O235" s="84"/>
      <c r="P235" s="84">
        <f t="shared" si="90"/>
        <v>2551341</v>
      </c>
      <c r="Q235" s="84"/>
      <c r="R235" s="84"/>
      <c r="S235" s="84"/>
      <c r="T235" s="84"/>
      <c r="U235" s="84"/>
      <c r="V235" s="84">
        <f t="shared" si="91"/>
        <v>2551341</v>
      </c>
      <c r="W235" s="84"/>
      <c r="X235" s="84"/>
      <c r="Y235" s="84"/>
      <c r="Z235" s="84"/>
      <c r="AA235" s="84"/>
      <c r="AB235" s="84"/>
      <c r="AC235" s="84"/>
      <c r="AD235" s="84">
        <f t="shared" si="74"/>
        <v>2551341</v>
      </c>
      <c r="AE235" s="111">
        <v>2211996</v>
      </c>
      <c r="AF235" s="111">
        <f t="shared" si="79"/>
        <v>339345</v>
      </c>
    </row>
    <row r="236" spans="1:32" x14ac:dyDescent="0.3">
      <c r="A236" s="285"/>
      <c r="B236" s="268"/>
      <c r="C236" s="172" t="s">
        <v>32</v>
      </c>
      <c r="D236" s="169">
        <v>50000</v>
      </c>
      <c r="E236" s="169"/>
      <c r="F236" s="169"/>
      <c r="G236" s="169"/>
      <c r="H236" s="169"/>
      <c r="I236" s="195"/>
      <c r="J236" s="20">
        <f t="shared" ref="J236:J248" si="106">SUM(D236:I236)</f>
        <v>50000</v>
      </c>
      <c r="K236" s="20"/>
      <c r="L236" s="20"/>
      <c r="M236" s="20"/>
      <c r="N236" s="20"/>
      <c r="O236" s="20"/>
      <c r="P236" s="20">
        <f t="shared" si="90"/>
        <v>50000</v>
      </c>
      <c r="Q236" s="20"/>
      <c r="R236" s="20"/>
      <c r="S236" s="20"/>
      <c r="T236" s="20"/>
      <c r="U236" s="20"/>
      <c r="V236" s="20">
        <f t="shared" si="91"/>
        <v>50000</v>
      </c>
      <c r="W236" s="20"/>
      <c r="X236" s="20"/>
      <c r="Y236" s="20"/>
      <c r="Z236" s="20"/>
      <c r="AA236" s="20"/>
      <c r="AB236" s="20"/>
      <c r="AC236" s="20"/>
      <c r="AD236" s="20">
        <f t="shared" si="74"/>
        <v>50000</v>
      </c>
      <c r="AE236" s="114">
        <v>0</v>
      </c>
      <c r="AF236" s="3">
        <f t="shared" si="79"/>
        <v>50000</v>
      </c>
    </row>
    <row r="237" spans="1:32" x14ac:dyDescent="0.3">
      <c r="A237" s="285"/>
      <c r="B237" s="268"/>
      <c r="C237" s="99" t="s">
        <v>33</v>
      </c>
      <c r="D237" s="100">
        <v>350000</v>
      </c>
      <c r="E237" s="100"/>
      <c r="F237" s="100"/>
      <c r="G237" s="100"/>
      <c r="H237" s="100"/>
      <c r="I237" s="196"/>
      <c r="J237" s="20">
        <f t="shared" si="106"/>
        <v>350000</v>
      </c>
      <c r="K237" s="20"/>
      <c r="L237" s="20"/>
      <c r="M237" s="20"/>
      <c r="N237" s="20"/>
      <c r="O237" s="20"/>
      <c r="P237" s="20">
        <f t="shared" si="90"/>
        <v>350000</v>
      </c>
      <c r="Q237" s="20"/>
      <c r="R237" s="20"/>
      <c r="S237" s="20"/>
      <c r="T237" s="20"/>
      <c r="U237" s="20"/>
      <c r="V237" s="20">
        <f>SUM(P237:U237)</f>
        <v>350000</v>
      </c>
      <c r="W237" s="20">
        <v>0</v>
      </c>
      <c r="X237" s="20"/>
      <c r="Y237" s="20"/>
      <c r="Z237" s="20"/>
      <c r="AA237" s="20"/>
      <c r="AB237" s="20"/>
      <c r="AC237" s="20"/>
      <c r="AD237" s="20">
        <f t="shared" si="74"/>
        <v>350000</v>
      </c>
      <c r="AE237" s="114">
        <v>116905</v>
      </c>
      <c r="AF237" s="3">
        <f t="shared" si="79"/>
        <v>233095</v>
      </c>
    </row>
    <row r="238" spans="1:32" x14ac:dyDescent="0.3">
      <c r="A238" s="285"/>
      <c r="B238" s="268"/>
      <c r="C238" s="235" t="s">
        <v>34</v>
      </c>
      <c r="D238" s="100">
        <v>71187</v>
      </c>
      <c r="E238" s="100"/>
      <c r="F238" s="100"/>
      <c r="G238" s="100"/>
      <c r="H238" s="100"/>
      <c r="I238" s="196"/>
      <c r="J238" s="20">
        <f t="shared" si="106"/>
        <v>71187</v>
      </c>
      <c r="K238" s="20"/>
      <c r="L238" s="20"/>
      <c r="M238" s="20"/>
      <c r="N238" s="20"/>
      <c r="O238" s="20"/>
      <c r="P238" s="20">
        <f t="shared" si="90"/>
        <v>71187</v>
      </c>
      <c r="Q238" s="20"/>
      <c r="R238" s="20"/>
      <c r="S238" s="20"/>
      <c r="T238" s="20"/>
      <c r="U238" s="20"/>
      <c r="V238" s="20">
        <f>SUM(P238:U238)</f>
        <v>71187</v>
      </c>
      <c r="W238" s="20"/>
      <c r="X238" s="20"/>
      <c r="Y238" s="20"/>
      <c r="Z238" s="20"/>
      <c r="AA238" s="20"/>
      <c r="AB238" s="20"/>
      <c r="AC238" s="20"/>
      <c r="AD238" s="20">
        <f t="shared" si="74"/>
        <v>71187</v>
      </c>
      <c r="AE238" s="114">
        <v>58103</v>
      </c>
      <c r="AF238" s="3">
        <f t="shared" si="79"/>
        <v>13084</v>
      </c>
    </row>
    <row r="239" spans="1:32" x14ac:dyDescent="0.3">
      <c r="A239" s="285"/>
      <c r="B239" s="268"/>
      <c r="C239" s="46" t="s">
        <v>35</v>
      </c>
      <c r="D239" s="47">
        <v>98293</v>
      </c>
      <c r="E239" s="47"/>
      <c r="F239" s="47"/>
      <c r="G239" s="47"/>
      <c r="H239" s="47"/>
      <c r="I239" s="197"/>
      <c r="J239" s="20">
        <f t="shared" si="106"/>
        <v>98293</v>
      </c>
      <c r="K239" s="20"/>
      <c r="L239" s="20"/>
      <c r="M239" s="20"/>
      <c r="N239" s="20"/>
      <c r="O239" s="20"/>
      <c r="P239" s="20">
        <f t="shared" si="90"/>
        <v>98293</v>
      </c>
      <c r="Q239" s="20"/>
      <c r="R239" s="20"/>
      <c r="S239" s="20"/>
      <c r="T239" s="20"/>
      <c r="U239" s="20"/>
      <c r="V239" s="20">
        <f t="shared" si="91"/>
        <v>98293</v>
      </c>
      <c r="W239" s="20"/>
      <c r="X239" s="20"/>
      <c r="Y239" s="20"/>
      <c r="Z239" s="20"/>
      <c r="AA239" s="20"/>
      <c r="AB239" s="20"/>
      <c r="AC239" s="20"/>
      <c r="AD239" s="20">
        <f t="shared" si="74"/>
        <v>98293</v>
      </c>
      <c r="AE239" s="114">
        <v>47909</v>
      </c>
      <c r="AF239" s="3">
        <f t="shared" si="79"/>
        <v>50384</v>
      </c>
    </row>
    <row r="240" spans="1:32" x14ac:dyDescent="0.3">
      <c r="A240" s="285"/>
      <c r="B240" s="268"/>
      <c r="C240" s="237" t="s">
        <v>195</v>
      </c>
      <c r="D240" s="47">
        <v>637455</v>
      </c>
      <c r="E240" s="47"/>
      <c r="F240" s="47"/>
      <c r="G240" s="47"/>
      <c r="H240" s="47"/>
      <c r="I240" s="197"/>
      <c r="J240" s="20">
        <f t="shared" si="106"/>
        <v>637455</v>
      </c>
      <c r="K240" s="20"/>
      <c r="L240" s="20"/>
      <c r="M240" s="20"/>
      <c r="N240" s="20"/>
      <c r="O240" s="20"/>
      <c r="P240" s="20">
        <f t="shared" si="90"/>
        <v>637455</v>
      </c>
      <c r="Q240" s="20"/>
      <c r="R240" s="20"/>
      <c r="S240" s="20"/>
      <c r="T240" s="20"/>
      <c r="U240" s="20"/>
      <c r="V240" s="20">
        <f t="shared" si="91"/>
        <v>637455</v>
      </c>
      <c r="W240" s="20"/>
      <c r="X240" s="20"/>
      <c r="Y240" s="20"/>
      <c r="Z240" s="20"/>
      <c r="AA240" s="20"/>
      <c r="AB240" s="20"/>
      <c r="AC240" s="20"/>
      <c r="AD240" s="20">
        <f t="shared" si="74"/>
        <v>637455</v>
      </c>
      <c r="AE240" s="114">
        <v>613907</v>
      </c>
      <c r="AF240" s="3">
        <f t="shared" si="79"/>
        <v>23548</v>
      </c>
    </row>
    <row r="241" spans="1:32" x14ac:dyDescent="0.3">
      <c r="A241" s="285"/>
      <c r="B241" s="268"/>
      <c r="C241" s="237" t="s">
        <v>196</v>
      </c>
      <c r="D241" s="47">
        <v>12500</v>
      </c>
      <c r="E241" s="47"/>
      <c r="F241" s="47"/>
      <c r="G241" s="47"/>
      <c r="H241" s="47"/>
      <c r="I241" s="197"/>
      <c r="J241" s="20">
        <f t="shared" si="106"/>
        <v>12500</v>
      </c>
      <c r="K241" s="20">
        <v>12000</v>
      </c>
      <c r="L241" s="20"/>
      <c r="M241" s="20"/>
      <c r="N241" s="20"/>
      <c r="O241" s="20"/>
      <c r="P241" s="20">
        <f t="shared" si="90"/>
        <v>24500</v>
      </c>
      <c r="Q241" s="20"/>
      <c r="R241" s="20"/>
      <c r="S241" s="20"/>
      <c r="T241" s="20"/>
      <c r="U241" s="20"/>
      <c r="V241" s="20">
        <f t="shared" si="91"/>
        <v>24500</v>
      </c>
      <c r="W241" s="20"/>
      <c r="X241" s="20"/>
      <c r="Y241" s="20"/>
      <c r="Z241" s="20"/>
      <c r="AA241" s="20"/>
      <c r="AB241" s="20"/>
      <c r="AC241" s="20"/>
      <c r="AD241" s="20">
        <f t="shared" si="74"/>
        <v>24500</v>
      </c>
      <c r="AE241" s="114">
        <v>21574</v>
      </c>
      <c r="AF241" s="3">
        <f t="shared" si="79"/>
        <v>2926</v>
      </c>
    </row>
    <row r="242" spans="1:32" x14ac:dyDescent="0.3">
      <c r="A242" s="285"/>
      <c r="B242" s="268"/>
      <c r="C242" s="98" t="s">
        <v>38</v>
      </c>
      <c r="D242" s="47">
        <v>100000</v>
      </c>
      <c r="E242" s="47"/>
      <c r="F242" s="47"/>
      <c r="G242" s="47"/>
      <c r="H242" s="47"/>
      <c r="I242" s="197"/>
      <c r="J242" s="20">
        <f t="shared" si="106"/>
        <v>100000</v>
      </c>
      <c r="K242" s="20"/>
      <c r="L242" s="20"/>
      <c r="M242" s="20"/>
      <c r="N242" s="20"/>
      <c r="O242" s="20"/>
      <c r="P242" s="20">
        <f t="shared" si="90"/>
        <v>100000</v>
      </c>
      <c r="Q242" s="20"/>
      <c r="R242" s="20"/>
      <c r="S242" s="20"/>
      <c r="T242" s="20"/>
      <c r="U242" s="20"/>
      <c r="V242" s="20">
        <f t="shared" si="91"/>
        <v>100000</v>
      </c>
      <c r="W242" s="20"/>
      <c r="X242" s="20"/>
      <c r="Y242" s="20"/>
      <c r="Z242" s="20"/>
      <c r="AA242" s="20"/>
      <c r="AB242" s="20"/>
      <c r="AC242" s="20"/>
      <c r="AD242" s="20">
        <f t="shared" si="74"/>
        <v>100000</v>
      </c>
      <c r="AE242" s="114">
        <v>6000</v>
      </c>
      <c r="AF242" s="3">
        <f t="shared" si="79"/>
        <v>94000</v>
      </c>
    </row>
    <row r="243" spans="1:32" x14ac:dyDescent="0.3">
      <c r="A243" s="285"/>
      <c r="B243" s="268"/>
      <c r="C243" s="235" t="s">
        <v>39</v>
      </c>
      <c r="D243" s="47">
        <v>2000</v>
      </c>
      <c r="E243" s="47"/>
      <c r="F243" s="47"/>
      <c r="G243" s="47"/>
      <c r="H243" s="47"/>
      <c r="I243" s="197"/>
      <c r="J243" s="20">
        <f t="shared" si="106"/>
        <v>2000</v>
      </c>
      <c r="K243" s="20"/>
      <c r="L243" s="20"/>
      <c r="M243" s="20"/>
      <c r="N243" s="20"/>
      <c r="O243" s="20"/>
      <c r="P243" s="20">
        <f t="shared" si="90"/>
        <v>2000</v>
      </c>
      <c r="Q243" s="20"/>
      <c r="R243" s="20"/>
      <c r="S243" s="20"/>
      <c r="T243" s="20"/>
      <c r="U243" s="20"/>
      <c r="V243" s="20">
        <f t="shared" si="91"/>
        <v>2000</v>
      </c>
      <c r="W243" s="20">
        <v>-754</v>
      </c>
      <c r="X243" s="20"/>
      <c r="Y243" s="20"/>
      <c r="Z243" s="20"/>
      <c r="AA243" s="20"/>
      <c r="AB243" s="20"/>
      <c r="AC243" s="20"/>
      <c r="AD243" s="20">
        <f t="shared" si="74"/>
        <v>1246</v>
      </c>
      <c r="AE243" s="114">
        <v>1246</v>
      </c>
      <c r="AF243" s="3">
        <f t="shared" si="79"/>
        <v>0</v>
      </c>
    </row>
    <row r="244" spans="1:32" x14ac:dyDescent="0.3">
      <c r="A244" s="285"/>
      <c r="B244" s="268"/>
      <c r="C244" s="212" t="s">
        <v>40</v>
      </c>
      <c r="D244" s="47">
        <v>598440</v>
      </c>
      <c r="E244" s="47">
        <v>-443000</v>
      </c>
      <c r="F244" s="47"/>
      <c r="G244" s="47"/>
      <c r="H244" s="47"/>
      <c r="I244" s="197"/>
      <c r="J244" s="20">
        <f t="shared" si="106"/>
        <v>155440</v>
      </c>
      <c r="K244" s="20"/>
      <c r="L244" s="20"/>
      <c r="M244" s="20"/>
      <c r="N244" s="20"/>
      <c r="O244" s="20"/>
      <c r="P244" s="20">
        <f t="shared" si="90"/>
        <v>155440</v>
      </c>
      <c r="Q244" s="20"/>
      <c r="R244" s="20"/>
      <c r="S244" s="20"/>
      <c r="T244" s="20"/>
      <c r="U244" s="20"/>
      <c r="V244" s="20">
        <f t="shared" si="91"/>
        <v>155440</v>
      </c>
      <c r="W244" s="20"/>
      <c r="X244" s="20"/>
      <c r="Y244" s="20"/>
      <c r="Z244" s="20"/>
      <c r="AA244" s="20"/>
      <c r="AB244" s="20"/>
      <c r="AC244" s="20"/>
      <c r="AD244" s="20">
        <f t="shared" si="74"/>
        <v>155440</v>
      </c>
      <c r="AE244" s="114">
        <v>40400</v>
      </c>
      <c r="AF244" s="3">
        <f t="shared" si="79"/>
        <v>115040</v>
      </c>
    </row>
    <row r="245" spans="1:32" x14ac:dyDescent="0.3">
      <c r="A245" s="285"/>
      <c r="B245" s="268"/>
      <c r="C245" s="131" t="s">
        <v>41</v>
      </c>
      <c r="D245" s="47">
        <v>778056</v>
      </c>
      <c r="E245" s="47">
        <v>443000</v>
      </c>
      <c r="F245" s="47"/>
      <c r="G245" s="47"/>
      <c r="H245" s="47"/>
      <c r="I245" s="197"/>
      <c r="J245" s="20">
        <f t="shared" si="106"/>
        <v>1221056</v>
      </c>
      <c r="K245" s="20">
        <f>-12000-100000</f>
        <v>-112000</v>
      </c>
      <c r="L245" s="20"/>
      <c r="M245" s="20"/>
      <c r="N245" s="20"/>
      <c r="O245" s="20"/>
      <c r="P245" s="20">
        <f t="shared" si="90"/>
        <v>1109056</v>
      </c>
      <c r="Q245" s="20"/>
      <c r="R245" s="20"/>
      <c r="S245" s="20"/>
      <c r="T245" s="20"/>
      <c r="U245" s="20"/>
      <c r="V245" s="20">
        <f t="shared" si="91"/>
        <v>1109056</v>
      </c>
      <c r="W245" s="20">
        <v>754</v>
      </c>
      <c r="X245" s="20"/>
      <c r="Y245" s="20"/>
      <c r="Z245" s="20"/>
      <c r="AA245" s="20"/>
      <c r="AB245" s="20"/>
      <c r="AC245" s="20"/>
      <c r="AD245" s="20">
        <f t="shared" si="74"/>
        <v>1109810</v>
      </c>
      <c r="AE245" s="114">
        <v>998370</v>
      </c>
      <c r="AF245" s="3">
        <f t="shared" si="79"/>
        <v>111440</v>
      </c>
    </row>
    <row r="246" spans="1:32" x14ac:dyDescent="0.3">
      <c r="A246" s="285"/>
      <c r="B246" s="268"/>
      <c r="C246" s="46" t="s">
        <v>42</v>
      </c>
      <c r="D246" s="47">
        <v>100000</v>
      </c>
      <c r="E246" s="47"/>
      <c r="F246" s="47"/>
      <c r="G246" s="47"/>
      <c r="H246" s="47"/>
      <c r="I246" s="197"/>
      <c r="J246" s="20">
        <f t="shared" si="106"/>
        <v>100000</v>
      </c>
      <c r="K246" s="20">
        <f>116887+100000</f>
        <v>216887</v>
      </c>
      <c r="L246" s="20"/>
      <c r="M246" s="20"/>
      <c r="N246" s="20"/>
      <c r="O246" s="20"/>
      <c r="P246" s="20">
        <f t="shared" si="90"/>
        <v>316887</v>
      </c>
      <c r="Q246" s="20"/>
      <c r="R246" s="20"/>
      <c r="S246" s="20"/>
      <c r="T246" s="20"/>
      <c r="U246" s="20"/>
      <c r="V246" s="20">
        <f t="shared" si="91"/>
        <v>316887</v>
      </c>
      <c r="W246" s="20"/>
      <c r="X246" s="20"/>
      <c r="Y246" s="20"/>
      <c r="Z246" s="20"/>
      <c r="AA246" s="20"/>
      <c r="AB246" s="20"/>
      <c r="AC246" s="20"/>
      <c r="AD246" s="20">
        <f t="shared" si="74"/>
        <v>316887</v>
      </c>
      <c r="AE246" s="114">
        <v>294786</v>
      </c>
      <c r="AF246" s="3">
        <f t="shared" si="79"/>
        <v>22101</v>
      </c>
    </row>
    <row r="247" spans="1:32" x14ac:dyDescent="0.3">
      <c r="A247" s="285"/>
      <c r="B247" s="268"/>
      <c r="C247" s="46" t="s">
        <v>44</v>
      </c>
      <c r="D247" s="47">
        <v>342925</v>
      </c>
      <c r="E247" s="47"/>
      <c r="F247" s="47"/>
      <c r="G247" s="47"/>
      <c r="H247" s="47"/>
      <c r="I247" s="197"/>
      <c r="J247" s="20">
        <f t="shared" si="106"/>
        <v>342925</v>
      </c>
      <c r="K247" s="20"/>
      <c r="L247" s="20"/>
      <c r="M247" s="20"/>
      <c r="N247" s="20"/>
      <c r="O247" s="20"/>
      <c r="P247" s="20">
        <f t="shared" si="90"/>
        <v>342925</v>
      </c>
      <c r="Q247" s="20"/>
      <c r="R247" s="20"/>
      <c r="S247" s="20"/>
      <c r="T247" s="20"/>
      <c r="U247" s="20"/>
      <c r="V247" s="20">
        <f t="shared" si="91"/>
        <v>342925</v>
      </c>
      <c r="W247" s="20"/>
      <c r="X247" s="20"/>
      <c r="Y247" s="20"/>
      <c r="Z247" s="20"/>
      <c r="AA247" s="20"/>
      <c r="AB247" s="20"/>
      <c r="AC247" s="20"/>
      <c r="AD247" s="20">
        <f t="shared" si="74"/>
        <v>342925</v>
      </c>
      <c r="AE247" s="114">
        <v>159834</v>
      </c>
      <c r="AF247" s="3">
        <f t="shared" si="79"/>
        <v>183091</v>
      </c>
    </row>
    <row r="248" spans="1:32" x14ac:dyDescent="0.3">
      <c r="A248" s="285"/>
      <c r="B248" s="268"/>
      <c r="C248" s="46" t="s">
        <v>45</v>
      </c>
      <c r="D248" s="47">
        <v>200533</v>
      </c>
      <c r="E248" s="47"/>
      <c r="F248" s="47"/>
      <c r="G248" s="47"/>
      <c r="H248" s="47"/>
      <c r="I248" s="197"/>
      <c r="J248" s="20">
        <f t="shared" si="106"/>
        <v>200533</v>
      </c>
      <c r="K248" s="20"/>
      <c r="L248" s="20"/>
      <c r="M248" s="20"/>
      <c r="N248" s="20"/>
      <c r="O248" s="20"/>
      <c r="P248" s="20">
        <f t="shared" si="90"/>
        <v>200533</v>
      </c>
      <c r="Q248" s="20"/>
      <c r="R248" s="20"/>
      <c r="S248" s="20"/>
      <c r="T248" s="20"/>
      <c r="U248" s="20"/>
      <c r="V248" s="20">
        <f t="shared" si="91"/>
        <v>200533</v>
      </c>
      <c r="W248" s="20"/>
      <c r="X248" s="20"/>
      <c r="Y248" s="20"/>
      <c r="Z248" s="20"/>
      <c r="AA248" s="20"/>
      <c r="AB248" s="20"/>
      <c r="AC248" s="20"/>
      <c r="AD248" s="20">
        <f t="shared" si="74"/>
        <v>200533</v>
      </c>
      <c r="AE248" s="114">
        <v>151296</v>
      </c>
      <c r="AF248" s="3">
        <f t="shared" si="79"/>
        <v>49237</v>
      </c>
    </row>
    <row r="249" spans="1:32" x14ac:dyDescent="0.3">
      <c r="A249" s="285"/>
      <c r="B249" s="268"/>
      <c r="C249" s="49" t="s">
        <v>49</v>
      </c>
      <c r="D249" s="50">
        <f>SUM(D236:D248)</f>
        <v>3341389</v>
      </c>
      <c r="E249" s="50">
        <f t="shared" ref="E249:I249" si="107">SUM(E236:E248)</f>
        <v>0</v>
      </c>
      <c r="F249" s="50">
        <f t="shared" si="107"/>
        <v>0</v>
      </c>
      <c r="G249" s="50">
        <f t="shared" si="107"/>
        <v>0</v>
      </c>
      <c r="H249" s="50">
        <f t="shared" si="107"/>
        <v>0</v>
      </c>
      <c r="I249" s="50">
        <f t="shared" si="107"/>
        <v>0</v>
      </c>
      <c r="J249" s="50">
        <f>SUM(J236:J248)</f>
        <v>3341389</v>
      </c>
      <c r="K249" s="50">
        <f t="shared" ref="K249:N249" si="108">SUM(K236:K248)</f>
        <v>116887</v>
      </c>
      <c r="L249" s="50">
        <f t="shared" si="108"/>
        <v>0</v>
      </c>
      <c r="M249" s="50">
        <f t="shared" si="108"/>
        <v>0</v>
      </c>
      <c r="N249" s="50">
        <f t="shared" si="108"/>
        <v>0</v>
      </c>
      <c r="O249" s="50"/>
      <c r="P249" s="50">
        <f t="shared" si="90"/>
        <v>3458276</v>
      </c>
      <c r="Q249" s="50">
        <f>SUM(Q236:Q248)</f>
        <v>0</v>
      </c>
      <c r="R249" s="50">
        <f t="shared" ref="R249:AC249" si="109">SUM(R236:R248)</f>
        <v>0</v>
      </c>
      <c r="S249" s="50">
        <f t="shared" si="109"/>
        <v>0</v>
      </c>
      <c r="T249" s="50">
        <f t="shared" si="109"/>
        <v>0</v>
      </c>
      <c r="U249" s="50">
        <f t="shared" si="109"/>
        <v>0</v>
      </c>
      <c r="V249" s="50">
        <f t="shared" si="91"/>
        <v>3458276</v>
      </c>
      <c r="W249" s="50">
        <f>SUM(W236:W248)</f>
        <v>0</v>
      </c>
      <c r="X249" s="50">
        <f t="shared" si="109"/>
        <v>0</v>
      </c>
      <c r="Y249" s="50"/>
      <c r="Z249" s="50"/>
      <c r="AA249" s="50">
        <f t="shared" si="109"/>
        <v>0</v>
      </c>
      <c r="AB249" s="50">
        <f t="shared" si="109"/>
        <v>0</v>
      </c>
      <c r="AC249" s="50">
        <f t="shared" si="109"/>
        <v>0</v>
      </c>
      <c r="AD249" s="50">
        <f t="shared" si="74"/>
        <v>3458276</v>
      </c>
      <c r="AE249" s="50">
        <f>SUM(AE236:AE248)</f>
        <v>2510330</v>
      </c>
      <c r="AF249" s="50">
        <f t="shared" si="79"/>
        <v>947946</v>
      </c>
    </row>
    <row r="250" spans="1:32" x14ac:dyDescent="0.3">
      <c r="A250" s="285"/>
      <c r="B250" s="268"/>
      <c r="C250" s="2" t="s">
        <v>50</v>
      </c>
      <c r="D250" s="47">
        <v>0</v>
      </c>
      <c r="E250" s="47"/>
      <c r="F250" s="47"/>
      <c r="G250" s="47"/>
      <c r="H250" s="47"/>
      <c r="I250" s="197"/>
      <c r="J250" s="197">
        <f>D250</f>
        <v>0</v>
      </c>
      <c r="K250" s="197"/>
      <c r="L250" s="197"/>
      <c r="M250" s="197"/>
      <c r="N250" s="197"/>
      <c r="O250" s="197"/>
      <c r="P250" s="197">
        <v>0</v>
      </c>
      <c r="Q250" s="197"/>
      <c r="R250" s="197"/>
      <c r="S250" s="197"/>
      <c r="T250" s="197"/>
      <c r="U250" s="197"/>
      <c r="V250" s="197">
        <f t="shared" si="91"/>
        <v>0</v>
      </c>
      <c r="W250" s="197"/>
      <c r="X250" s="197"/>
      <c r="Y250" s="197"/>
      <c r="Z250" s="197"/>
      <c r="AA250" s="197"/>
      <c r="AB250" s="197"/>
      <c r="AC250" s="197"/>
      <c r="AD250" s="20">
        <f t="shared" si="74"/>
        <v>0</v>
      </c>
      <c r="AE250" s="47">
        <v>0</v>
      </c>
      <c r="AF250" s="3">
        <f t="shared" si="79"/>
        <v>0</v>
      </c>
    </row>
    <row r="251" spans="1:32" x14ac:dyDescent="0.3">
      <c r="A251" s="285"/>
      <c r="B251" s="268"/>
      <c r="C251" s="2" t="s">
        <v>51</v>
      </c>
      <c r="D251" s="47">
        <v>0</v>
      </c>
      <c r="E251" s="47"/>
      <c r="F251" s="47"/>
      <c r="G251" s="47"/>
      <c r="H251" s="47"/>
      <c r="I251" s="197"/>
      <c r="J251" s="197">
        <f>D251</f>
        <v>0</v>
      </c>
      <c r="K251" s="197"/>
      <c r="L251" s="197"/>
      <c r="M251" s="197"/>
      <c r="N251" s="197"/>
      <c r="O251" s="197"/>
      <c r="P251" s="197">
        <v>0</v>
      </c>
      <c r="Q251" s="197"/>
      <c r="R251" s="197"/>
      <c r="S251" s="197"/>
      <c r="T251" s="197"/>
      <c r="U251" s="197"/>
      <c r="V251" s="197">
        <f t="shared" si="91"/>
        <v>0</v>
      </c>
      <c r="W251" s="197"/>
      <c r="X251" s="197"/>
      <c r="Y251" s="197"/>
      <c r="Z251" s="197"/>
      <c r="AA251" s="197"/>
      <c r="AB251" s="197"/>
      <c r="AC251" s="197"/>
      <c r="AD251" s="20">
        <f t="shared" si="74"/>
        <v>0</v>
      </c>
      <c r="AE251" s="47">
        <v>0</v>
      </c>
      <c r="AF251" s="3">
        <f t="shared" si="79"/>
        <v>0</v>
      </c>
    </row>
    <row r="252" spans="1:32" x14ac:dyDescent="0.3">
      <c r="A252" s="263"/>
      <c r="B252" s="265"/>
      <c r="C252" s="6" t="s">
        <v>52</v>
      </c>
      <c r="D252" s="50"/>
      <c r="E252" s="50"/>
      <c r="F252" s="50"/>
      <c r="G252" s="50"/>
      <c r="H252" s="50"/>
      <c r="I252" s="231"/>
      <c r="J252" s="231"/>
      <c r="K252" s="231"/>
      <c r="L252" s="231"/>
      <c r="M252" s="231"/>
      <c r="N252" s="231"/>
      <c r="O252" s="231"/>
      <c r="P252" s="231">
        <f>SUM(P250:P251)</f>
        <v>0</v>
      </c>
      <c r="Q252" s="231">
        <f t="shared" ref="Q252:AC252" si="110">SUM(Q250:Q251)</f>
        <v>0</v>
      </c>
      <c r="R252" s="231">
        <f t="shared" si="110"/>
        <v>0</v>
      </c>
      <c r="S252" s="231">
        <f t="shared" si="110"/>
        <v>0</v>
      </c>
      <c r="T252" s="231">
        <f t="shared" si="110"/>
        <v>0</v>
      </c>
      <c r="U252" s="231">
        <f t="shared" si="110"/>
        <v>0</v>
      </c>
      <c r="V252" s="231">
        <f>SUM(P252:U252)</f>
        <v>0</v>
      </c>
      <c r="W252" s="231">
        <f t="shared" si="110"/>
        <v>0</v>
      </c>
      <c r="X252" s="231">
        <f t="shared" si="110"/>
        <v>0</v>
      </c>
      <c r="Y252" s="231"/>
      <c r="Z252" s="231"/>
      <c r="AA252" s="231">
        <f t="shared" si="110"/>
        <v>0</v>
      </c>
      <c r="AB252" s="231">
        <f t="shared" si="110"/>
        <v>0</v>
      </c>
      <c r="AC252" s="231">
        <f t="shared" si="110"/>
        <v>0</v>
      </c>
      <c r="AD252" s="50">
        <f t="shared" si="74"/>
        <v>0</v>
      </c>
      <c r="AE252" s="50">
        <f>SUM(AE250:AE251)</f>
        <v>0</v>
      </c>
      <c r="AF252" s="50">
        <f t="shared" si="79"/>
        <v>0</v>
      </c>
    </row>
    <row r="253" spans="1:32" x14ac:dyDescent="0.3">
      <c r="A253" s="254" t="s">
        <v>68</v>
      </c>
      <c r="B253" s="279" t="s">
        <v>46</v>
      </c>
      <c r="C253" s="16" t="s">
        <v>24</v>
      </c>
      <c r="D253" s="17">
        <v>6852000</v>
      </c>
      <c r="E253" s="17"/>
      <c r="F253" s="17"/>
      <c r="G253" s="17"/>
      <c r="H253" s="17"/>
      <c r="I253" s="198"/>
      <c r="J253" s="20">
        <f t="shared" ref="J253:J254" si="111">SUM(D253:I253)</f>
        <v>6852000</v>
      </c>
      <c r="K253" s="20"/>
      <c r="L253" s="20"/>
      <c r="M253" s="20"/>
      <c r="N253" s="20"/>
      <c r="O253" s="20"/>
      <c r="P253" s="20">
        <f t="shared" si="90"/>
        <v>6852000</v>
      </c>
      <c r="Q253" s="20"/>
      <c r="R253" s="20">
        <v>-1245419</v>
      </c>
      <c r="S253" s="20"/>
      <c r="T253" s="20"/>
      <c r="U253" s="20"/>
      <c r="V253" s="20">
        <f t="shared" si="91"/>
        <v>5606581</v>
      </c>
      <c r="W253" s="20"/>
      <c r="X253" s="20"/>
      <c r="Y253" s="20"/>
      <c r="Z253" s="20">
        <v>-12729</v>
      </c>
      <c r="AA253" s="20"/>
      <c r="AB253" s="20"/>
      <c r="AC253" s="20"/>
      <c r="AD253" s="20">
        <f t="shared" si="74"/>
        <v>5593852</v>
      </c>
      <c r="AE253" s="108">
        <v>5593852</v>
      </c>
      <c r="AF253" s="3">
        <f t="shared" si="79"/>
        <v>0</v>
      </c>
    </row>
    <row r="254" spans="1:32" x14ac:dyDescent="0.3">
      <c r="A254" s="262"/>
      <c r="B254" s="280"/>
      <c r="C254" s="18" t="s">
        <v>31</v>
      </c>
      <c r="D254" s="19">
        <v>890760</v>
      </c>
      <c r="E254" s="19"/>
      <c r="F254" s="19"/>
      <c r="G254" s="19"/>
      <c r="H254" s="19"/>
      <c r="I254" s="199"/>
      <c r="J254" s="20">
        <f t="shared" si="111"/>
        <v>890760</v>
      </c>
      <c r="K254" s="20"/>
      <c r="L254" s="20"/>
      <c r="M254" s="20"/>
      <c r="N254" s="20"/>
      <c r="O254" s="20"/>
      <c r="P254" s="20">
        <f t="shared" si="90"/>
        <v>890760</v>
      </c>
      <c r="Q254" s="20"/>
      <c r="R254" s="20">
        <v>-161906</v>
      </c>
      <c r="S254" s="20"/>
      <c r="T254" s="20"/>
      <c r="U254" s="20"/>
      <c r="V254" s="20">
        <f t="shared" si="91"/>
        <v>728854</v>
      </c>
      <c r="W254" s="20"/>
      <c r="X254" s="20"/>
      <c r="Y254" s="20"/>
      <c r="Z254" s="20">
        <v>-1654</v>
      </c>
      <c r="AA254" s="20"/>
      <c r="AB254" s="20"/>
      <c r="AC254" s="20"/>
      <c r="AD254" s="20">
        <f t="shared" si="74"/>
        <v>727200</v>
      </c>
      <c r="AE254" s="108">
        <v>727200</v>
      </c>
      <c r="AF254" s="3">
        <f t="shared" si="79"/>
        <v>0</v>
      </c>
    </row>
    <row r="255" spans="1:32" x14ac:dyDescent="0.3">
      <c r="A255" s="319" t="s">
        <v>82</v>
      </c>
      <c r="B255" s="320"/>
      <c r="C255" s="321"/>
      <c r="D255" s="78">
        <f>SUM(D234+D235+D253+D254+D249)</f>
        <v>29875304</v>
      </c>
      <c r="E255" s="78">
        <f t="shared" ref="E255:I255" si="112">SUM(E234+E235+E253+E254+E249)</f>
        <v>0</v>
      </c>
      <c r="F255" s="78">
        <f t="shared" si="112"/>
        <v>0</v>
      </c>
      <c r="G255" s="78">
        <f t="shared" si="112"/>
        <v>0</v>
      </c>
      <c r="H255" s="78">
        <f t="shared" si="112"/>
        <v>0</v>
      </c>
      <c r="I255" s="78">
        <f t="shared" si="112"/>
        <v>0</v>
      </c>
      <c r="J255" s="78">
        <f>SUM(J234+J235+J253+J254+J249)</f>
        <v>29875304</v>
      </c>
      <c r="K255" s="78">
        <f t="shared" ref="K255:N255" si="113">SUM(K234+K235+K253+K254+K249)</f>
        <v>116887</v>
      </c>
      <c r="L255" s="78">
        <f t="shared" si="113"/>
        <v>0</v>
      </c>
      <c r="M255" s="78">
        <f t="shared" si="113"/>
        <v>0</v>
      </c>
      <c r="N255" s="78">
        <f t="shared" si="113"/>
        <v>0</v>
      </c>
      <c r="O255" s="78"/>
      <c r="P255" s="78">
        <f>SUM(J255:O255)</f>
        <v>29992191</v>
      </c>
      <c r="Q255" s="78">
        <f>SUM(Q234+Q235+Q253+Q254+Q249+Q252)</f>
        <v>0</v>
      </c>
      <c r="R255" s="78">
        <f t="shared" ref="R255:AC255" si="114">SUM(R234+R235+R253+R254+R249+R252)</f>
        <v>-1407325</v>
      </c>
      <c r="S255" s="78">
        <f t="shared" si="114"/>
        <v>0</v>
      </c>
      <c r="T255" s="78">
        <f t="shared" si="114"/>
        <v>0</v>
      </c>
      <c r="U255" s="78">
        <f t="shared" si="114"/>
        <v>0</v>
      </c>
      <c r="V255" s="78">
        <f>SUM(P255:U255)</f>
        <v>28584866</v>
      </c>
      <c r="W255" s="78">
        <f>SUM(W234+W235+W253+W254+W249+W252)</f>
        <v>0</v>
      </c>
      <c r="X255" s="78">
        <f t="shared" si="114"/>
        <v>0</v>
      </c>
      <c r="Y255" s="78">
        <f t="shared" si="114"/>
        <v>0</v>
      </c>
      <c r="Z255" s="78">
        <f t="shared" si="114"/>
        <v>-14383</v>
      </c>
      <c r="AA255" s="78">
        <f t="shared" si="114"/>
        <v>0</v>
      </c>
      <c r="AB255" s="78">
        <f t="shared" si="114"/>
        <v>0</v>
      </c>
      <c r="AC255" s="78">
        <f t="shared" si="114"/>
        <v>0</v>
      </c>
      <c r="AD255" s="78">
        <f t="shared" ref="AD255" si="115">SUM(V255:AC255)</f>
        <v>28570483</v>
      </c>
      <c r="AE255" s="116">
        <f>SUM(AE234+AE235+AE253+AE254+AE249+AE252)</f>
        <v>25612638</v>
      </c>
      <c r="AF255" s="116">
        <f t="shared" si="79"/>
        <v>2957845</v>
      </c>
    </row>
    <row r="256" spans="1:32" ht="30.75" customHeight="1" x14ac:dyDescent="0.3">
      <c r="A256" s="415" t="s">
        <v>74</v>
      </c>
      <c r="B256" s="416"/>
      <c r="C256" s="417"/>
      <c r="D256" s="188">
        <f t="shared" ref="D256:N256" si="116">SUM(D102+D129+D155+D180+D206+D225+D255)</f>
        <v>249848164</v>
      </c>
      <c r="E256" s="188">
        <f t="shared" si="116"/>
        <v>0</v>
      </c>
      <c r="F256" s="188">
        <f t="shared" si="116"/>
        <v>0</v>
      </c>
      <c r="G256" s="188">
        <f t="shared" si="116"/>
        <v>0</v>
      </c>
      <c r="H256" s="188">
        <f t="shared" si="116"/>
        <v>0</v>
      </c>
      <c r="I256" s="188">
        <f t="shared" si="116"/>
        <v>0</v>
      </c>
      <c r="J256" s="188">
        <f t="shared" si="116"/>
        <v>249848164</v>
      </c>
      <c r="K256" s="188">
        <f t="shared" si="116"/>
        <v>0</v>
      </c>
      <c r="L256" s="188">
        <f t="shared" si="116"/>
        <v>73635</v>
      </c>
      <c r="M256" s="188">
        <f t="shared" si="116"/>
        <v>0</v>
      </c>
      <c r="N256" s="188">
        <f t="shared" si="116"/>
        <v>0</v>
      </c>
      <c r="O256" s="188"/>
      <c r="P256" s="188">
        <f t="shared" si="90"/>
        <v>249921799</v>
      </c>
      <c r="Q256" s="188">
        <f>SUM(Q102+Q129+Q155+Q180+Q206+Q225+Q255)</f>
        <v>0</v>
      </c>
      <c r="R256" s="188">
        <f>SUM(R102+R129+R155+R180+R206+R225+R255)</f>
        <v>-5387603</v>
      </c>
      <c r="S256" s="188">
        <f>SUM(S102+S129+S155+S180+S206+S225+S255)</f>
        <v>50624</v>
      </c>
      <c r="T256" s="188">
        <f>SUM(T102+T129+T155+T180+T206+T225+T255)</f>
        <v>0</v>
      </c>
      <c r="U256" s="188">
        <f>SUM(U102+U129+U155+U180+U206+U225+U255)</f>
        <v>0</v>
      </c>
      <c r="V256" s="188">
        <f>SUM(P256:U256)</f>
        <v>244584820</v>
      </c>
      <c r="W256" s="188">
        <f t="shared" ref="W256:AC256" si="117">SUM(W102+W129+W155+W180+W206+W225+W255)</f>
        <v>0</v>
      </c>
      <c r="X256" s="188">
        <f t="shared" si="117"/>
        <v>55199</v>
      </c>
      <c r="Y256" s="188">
        <f t="shared" si="117"/>
        <v>25312</v>
      </c>
      <c r="Z256" s="188">
        <f t="shared" si="117"/>
        <v>-187431</v>
      </c>
      <c r="AA256" s="188">
        <f t="shared" si="117"/>
        <v>-1000000</v>
      </c>
      <c r="AB256" s="188">
        <f t="shared" si="117"/>
        <v>0</v>
      </c>
      <c r="AC256" s="188">
        <f t="shared" si="117"/>
        <v>0</v>
      </c>
      <c r="AD256" s="188">
        <f>SUM(V256:AC256)</f>
        <v>243477900</v>
      </c>
      <c r="AE256" s="189">
        <f>SUM(AE102+AE129+AE155+AE180+AE206+AE225+AE255)</f>
        <v>225898988</v>
      </c>
      <c r="AF256" s="189">
        <f t="shared" si="79"/>
        <v>17578912</v>
      </c>
    </row>
    <row r="257" spans="1:31" x14ac:dyDescent="0.3">
      <c r="B257" s="5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107"/>
    </row>
    <row r="258" spans="1:31" x14ac:dyDescent="0.3">
      <c r="B258" s="5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107"/>
    </row>
    <row r="259" spans="1:31" x14ac:dyDescent="0.3">
      <c r="B259" s="5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107"/>
    </row>
    <row r="260" spans="1:31" x14ac:dyDescent="0.3">
      <c r="B260" s="5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107"/>
    </row>
    <row r="261" spans="1:31" x14ac:dyDescent="0.3">
      <c r="B261" s="5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107"/>
    </row>
    <row r="262" spans="1:31" ht="15" thickBot="1" x14ac:dyDescent="0.35">
      <c r="B262" s="5"/>
      <c r="E262" s="4"/>
      <c r="F262" s="130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107"/>
    </row>
    <row r="263" spans="1:31" ht="15" thickTop="1" x14ac:dyDescent="0.3">
      <c r="A263" s="283" t="s">
        <v>83</v>
      </c>
      <c r="B263" s="283"/>
      <c r="C263" s="283"/>
      <c r="D263" s="283"/>
      <c r="E263" s="283"/>
      <c r="F263" s="283"/>
      <c r="G263" s="283"/>
      <c r="H263" s="283"/>
      <c r="I263" s="283"/>
      <c r="J263" s="283"/>
      <c r="K263" s="283"/>
      <c r="L263" s="283"/>
      <c r="M263" s="283"/>
      <c r="N263" s="283"/>
      <c r="O263" s="283"/>
      <c r="P263" s="283"/>
      <c r="Q263" s="283"/>
      <c r="R263" s="283"/>
      <c r="S263" s="283"/>
      <c r="T263" s="283"/>
      <c r="U263" s="283"/>
      <c r="V263" s="283"/>
      <c r="W263" s="283"/>
      <c r="X263" s="283"/>
      <c r="Y263" s="283"/>
      <c r="Z263" s="283"/>
      <c r="AA263" s="283"/>
      <c r="AB263" s="283"/>
      <c r="AC263" s="283"/>
      <c r="AD263" s="283"/>
      <c r="AE263" s="283"/>
    </row>
    <row r="264" spans="1:31" s="168" customFormat="1" ht="86.25" customHeight="1" x14ac:dyDescent="0.3">
      <c r="A264" s="418" t="s">
        <v>189</v>
      </c>
      <c r="B264" s="419"/>
      <c r="C264" s="202" t="s">
        <v>3</v>
      </c>
      <c r="D264" s="202" t="s">
        <v>4</v>
      </c>
      <c r="E264" s="204" t="s">
        <v>70</v>
      </c>
      <c r="F264" s="215"/>
      <c r="G264" s="215"/>
      <c r="H264" s="215"/>
      <c r="I264" s="215"/>
      <c r="J264" s="203" t="s">
        <v>204</v>
      </c>
      <c r="K264" s="203" t="s">
        <v>70</v>
      </c>
      <c r="L264" s="203" t="s">
        <v>206</v>
      </c>
      <c r="M264" s="203"/>
      <c r="N264" s="203"/>
      <c r="O264" s="203"/>
      <c r="P264" s="203" t="s">
        <v>210</v>
      </c>
      <c r="Q264" s="203" t="s">
        <v>70</v>
      </c>
      <c r="R264" s="203" t="s">
        <v>211</v>
      </c>
      <c r="S264" s="203" t="s">
        <v>212</v>
      </c>
      <c r="T264" s="203"/>
      <c r="U264" s="203"/>
      <c r="V264" s="203" t="s">
        <v>164</v>
      </c>
      <c r="W264" s="203" t="s">
        <v>70</v>
      </c>
      <c r="X264" s="203" t="s">
        <v>222</v>
      </c>
      <c r="Y264" s="203" t="s">
        <v>223</v>
      </c>
      <c r="Z264" s="203" t="s">
        <v>224</v>
      </c>
      <c r="AA264" s="203" t="s">
        <v>225</v>
      </c>
      <c r="AB264" s="203"/>
      <c r="AC264" s="203"/>
      <c r="AD264" s="203" t="s">
        <v>191</v>
      </c>
      <c r="AE264" s="206" t="s">
        <v>220</v>
      </c>
    </row>
    <row r="265" spans="1:31" x14ac:dyDescent="0.3">
      <c r="A265" s="420"/>
      <c r="B265" s="421"/>
      <c r="C265" s="33" t="s">
        <v>16</v>
      </c>
      <c r="D265" s="218">
        <f t="shared" ref="D265:AE265" si="118">D5+D20+D22+D24+D26+D28+D9</f>
        <v>101739609</v>
      </c>
      <c r="E265" s="218">
        <f t="shared" si="118"/>
        <v>-14151630</v>
      </c>
      <c r="F265" s="218">
        <f t="shared" si="118"/>
        <v>0</v>
      </c>
      <c r="G265" s="218">
        <f t="shared" si="118"/>
        <v>0</v>
      </c>
      <c r="H265" s="218">
        <f t="shared" si="118"/>
        <v>0</v>
      </c>
      <c r="I265" s="218">
        <f t="shared" si="118"/>
        <v>0</v>
      </c>
      <c r="J265" s="218">
        <f t="shared" si="118"/>
        <v>87587979</v>
      </c>
      <c r="K265" s="218">
        <f t="shared" si="118"/>
        <v>0</v>
      </c>
      <c r="L265" s="218">
        <f t="shared" si="118"/>
        <v>73635</v>
      </c>
      <c r="M265" s="218">
        <f t="shared" si="118"/>
        <v>0</v>
      </c>
      <c r="N265" s="218">
        <f t="shared" si="118"/>
        <v>0</v>
      </c>
      <c r="O265" s="218">
        <f t="shared" si="118"/>
        <v>0</v>
      </c>
      <c r="P265" s="218">
        <f>P5+P20+P22+P24+P26+P28+P9</f>
        <v>87661614</v>
      </c>
      <c r="Q265" s="218">
        <f t="shared" si="118"/>
        <v>0</v>
      </c>
      <c r="R265" s="218">
        <f t="shared" si="118"/>
        <v>0</v>
      </c>
      <c r="S265" s="218">
        <f t="shared" si="118"/>
        <v>50624</v>
      </c>
      <c r="T265" s="218">
        <f t="shared" si="118"/>
        <v>0</v>
      </c>
      <c r="U265" s="218">
        <f t="shared" si="118"/>
        <v>0</v>
      </c>
      <c r="V265" s="218">
        <f t="shared" si="118"/>
        <v>87712238</v>
      </c>
      <c r="W265" s="218">
        <f t="shared" si="118"/>
        <v>0</v>
      </c>
      <c r="X265" s="218">
        <f t="shared" si="118"/>
        <v>0</v>
      </c>
      <c r="Y265" s="218">
        <f t="shared" si="118"/>
        <v>25312</v>
      </c>
      <c r="Z265" s="218">
        <f t="shared" si="118"/>
        <v>0</v>
      </c>
      <c r="AA265" s="218">
        <f t="shared" si="118"/>
        <v>-1000000</v>
      </c>
      <c r="AB265" s="218">
        <f t="shared" si="118"/>
        <v>0</v>
      </c>
      <c r="AC265" s="218">
        <f t="shared" si="118"/>
        <v>0</v>
      </c>
      <c r="AD265" s="218">
        <f t="shared" si="118"/>
        <v>86737550</v>
      </c>
      <c r="AE265" s="218">
        <f t="shared" si="118"/>
        <v>86737550</v>
      </c>
    </row>
    <row r="266" spans="1:31" x14ac:dyDescent="0.3">
      <c r="A266" s="420"/>
      <c r="B266" s="421"/>
      <c r="C266" s="33" t="s">
        <v>194</v>
      </c>
      <c r="D266" s="218">
        <f>D14</f>
        <v>120000</v>
      </c>
      <c r="E266" s="218">
        <f>E14</f>
        <v>0</v>
      </c>
      <c r="F266" s="218"/>
      <c r="G266" s="218"/>
      <c r="H266" s="218"/>
      <c r="I266" s="218"/>
      <c r="J266" s="218">
        <f>J14</f>
        <v>120000</v>
      </c>
      <c r="K266" s="218"/>
      <c r="L266" s="218"/>
      <c r="M266" s="218"/>
      <c r="N266" s="218"/>
      <c r="O266" s="218"/>
      <c r="P266" s="218">
        <f>P14</f>
        <v>120000</v>
      </c>
      <c r="Q266" s="218">
        <f t="shared" ref="Q266:AD266" si="119">Q14</f>
        <v>-2000</v>
      </c>
      <c r="R266" s="218">
        <f t="shared" si="119"/>
        <v>0</v>
      </c>
      <c r="S266" s="218">
        <f t="shared" si="119"/>
        <v>0</v>
      </c>
      <c r="T266" s="218">
        <f t="shared" si="119"/>
        <v>0</v>
      </c>
      <c r="U266" s="218">
        <f t="shared" si="119"/>
        <v>0</v>
      </c>
      <c r="V266" s="218">
        <f t="shared" si="119"/>
        <v>118000</v>
      </c>
      <c r="W266" s="218">
        <f t="shared" si="119"/>
        <v>-15000</v>
      </c>
      <c r="X266" s="218">
        <f t="shared" si="119"/>
        <v>0</v>
      </c>
      <c r="Y266" s="218">
        <f t="shared" si="119"/>
        <v>0</v>
      </c>
      <c r="Z266" s="218">
        <f t="shared" si="119"/>
        <v>0</v>
      </c>
      <c r="AA266" s="218">
        <f t="shared" si="119"/>
        <v>0</v>
      </c>
      <c r="AB266" s="218">
        <f t="shared" si="119"/>
        <v>0</v>
      </c>
      <c r="AC266" s="218">
        <f t="shared" si="119"/>
        <v>0</v>
      </c>
      <c r="AD266" s="218">
        <f t="shared" si="119"/>
        <v>103000</v>
      </c>
      <c r="AE266" s="218">
        <f>AE14</f>
        <v>103000</v>
      </c>
    </row>
    <row r="267" spans="1:31" x14ac:dyDescent="0.3">
      <c r="A267" s="420"/>
      <c r="B267" s="421"/>
      <c r="C267" s="33" t="s">
        <v>17</v>
      </c>
      <c r="D267" s="218">
        <f t="shared" ref="D267:AD267" si="120">D6+D21+D23+D25+D27+D29</f>
        <v>7311028</v>
      </c>
      <c r="E267" s="218">
        <f t="shared" si="120"/>
        <v>0</v>
      </c>
      <c r="F267" s="218">
        <f t="shared" si="120"/>
        <v>0</v>
      </c>
      <c r="G267" s="218">
        <f t="shared" si="120"/>
        <v>0</v>
      </c>
      <c r="H267" s="218">
        <f t="shared" si="120"/>
        <v>0</v>
      </c>
      <c r="I267" s="218">
        <f t="shared" si="120"/>
        <v>0</v>
      </c>
      <c r="J267" s="218">
        <f t="shared" si="120"/>
        <v>7311028</v>
      </c>
      <c r="K267" s="218">
        <f t="shared" si="120"/>
        <v>0</v>
      </c>
      <c r="L267" s="218">
        <f t="shared" si="120"/>
        <v>0</v>
      </c>
      <c r="M267" s="218">
        <f t="shared" si="120"/>
        <v>0</v>
      </c>
      <c r="N267" s="218">
        <f t="shared" si="120"/>
        <v>0</v>
      </c>
      <c r="O267" s="218">
        <f t="shared" si="120"/>
        <v>0</v>
      </c>
      <c r="P267" s="218">
        <f t="shared" si="120"/>
        <v>7311028</v>
      </c>
      <c r="Q267" s="218">
        <f t="shared" si="120"/>
        <v>0</v>
      </c>
      <c r="R267" s="218">
        <f t="shared" si="120"/>
        <v>0</v>
      </c>
      <c r="S267" s="218">
        <f t="shared" si="120"/>
        <v>0</v>
      </c>
      <c r="T267" s="218">
        <f t="shared" si="120"/>
        <v>0</v>
      </c>
      <c r="U267" s="218">
        <f t="shared" si="120"/>
        <v>0</v>
      </c>
      <c r="V267" s="218">
        <f t="shared" si="120"/>
        <v>7311028</v>
      </c>
      <c r="W267" s="218">
        <f t="shared" si="120"/>
        <v>0</v>
      </c>
      <c r="X267" s="218">
        <f t="shared" si="120"/>
        <v>0</v>
      </c>
      <c r="Y267" s="218">
        <f t="shared" si="120"/>
        <v>0</v>
      </c>
      <c r="Z267" s="218">
        <f t="shared" si="120"/>
        <v>0</v>
      </c>
      <c r="AA267" s="218">
        <f t="shared" si="120"/>
        <v>0</v>
      </c>
      <c r="AB267" s="218">
        <f t="shared" si="120"/>
        <v>0</v>
      </c>
      <c r="AC267" s="218">
        <f t="shared" si="120"/>
        <v>0</v>
      </c>
      <c r="AD267" s="218">
        <f t="shared" si="120"/>
        <v>7311028</v>
      </c>
      <c r="AE267" s="218">
        <f>AE6+AE21+AE23+AE25+AE27+AE29</f>
        <v>7311028</v>
      </c>
    </row>
    <row r="268" spans="1:31" x14ac:dyDescent="0.3">
      <c r="A268" s="420"/>
      <c r="B268" s="421"/>
      <c r="C268" s="33" t="s">
        <v>18</v>
      </c>
      <c r="D268" s="218">
        <f>D8</f>
        <v>140653527</v>
      </c>
      <c r="E268" s="218">
        <f t="shared" ref="E268:J268" si="121">E8</f>
        <v>14151630</v>
      </c>
      <c r="F268" s="218">
        <f t="shared" si="121"/>
        <v>0</v>
      </c>
      <c r="G268" s="218">
        <f t="shared" si="121"/>
        <v>0</v>
      </c>
      <c r="H268" s="218">
        <f t="shared" si="121"/>
        <v>0</v>
      </c>
      <c r="I268" s="218">
        <f t="shared" si="121"/>
        <v>0</v>
      </c>
      <c r="J268" s="218">
        <f t="shared" si="121"/>
        <v>154805157</v>
      </c>
      <c r="K268" s="218">
        <f t="shared" ref="K268:AE268" si="122">K8</f>
        <v>0</v>
      </c>
      <c r="L268" s="218">
        <f t="shared" si="122"/>
        <v>0</v>
      </c>
      <c r="M268" s="218">
        <f t="shared" si="122"/>
        <v>0</v>
      </c>
      <c r="N268" s="218">
        <f t="shared" si="122"/>
        <v>0</v>
      </c>
      <c r="O268" s="218">
        <f t="shared" si="122"/>
        <v>0</v>
      </c>
      <c r="P268" s="218">
        <f t="shared" si="122"/>
        <v>154805157</v>
      </c>
      <c r="Q268" s="218">
        <f t="shared" si="122"/>
        <v>0</v>
      </c>
      <c r="R268" s="218">
        <f t="shared" si="122"/>
        <v>-5387603</v>
      </c>
      <c r="S268" s="218">
        <f t="shared" si="122"/>
        <v>0</v>
      </c>
      <c r="T268" s="218">
        <f t="shared" si="122"/>
        <v>0</v>
      </c>
      <c r="U268" s="218">
        <f t="shared" si="122"/>
        <v>0</v>
      </c>
      <c r="V268" s="218">
        <f t="shared" si="122"/>
        <v>149417554</v>
      </c>
      <c r="W268" s="218">
        <f t="shared" si="122"/>
        <v>0</v>
      </c>
      <c r="X268" s="218">
        <f t="shared" si="122"/>
        <v>0</v>
      </c>
      <c r="Y268" s="218">
        <f t="shared" si="122"/>
        <v>0</v>
      </c>
      <c r="Z268" s="218">
        <f t="shared" si="122"/>
        <v>-187431</v>
      </c>
      <c r="AA268" s="218">
        <f t="shared" si="122"/>
        <v>0</v>
      </c>
      <c r="AB268" s="218">
        <f t="shared" si="122"/>
        <v>0</v>
      </c>
      <c r="AC268" s="218">
        <f t="shared" si="122"/>
        <v>0</v>
      </c>
      <c r="AD268" s="218">
        <f t="shared" si="122"/>
        <v>149230123</v>
      </c>
      <c r="AE268" s="218">
        <f t="shared" si="122"/>
        <v>149230123</v>
      </c>
    </row>
    <row r="269" spans="1:31" x14ac:dyDescent="0.3">
      <c r="A269" s="420"/>
      <c r="B269" s="421"/>
      <c r="C269" s="216" t="s">
        <v>22</v>
      </c>
      <c r="D269" s="218">
        <f t="shared" ref="D269:AE269" si="123">D10+D7</f>
        <v>0</v>
      </c>
      <c r="E269" s="218">
        <f t="shared" si="123"/>
        <v>0</v>
      </c>
      <c r="F269" s="218">
        <f t="shared" si="123"/>
        <v>0</v>
      </c>
      <c r="G269" s="218">
        <f t="shared" si="123"/>
        <v>0</v>
      </c>
      <c r="H269" s="218">
        <f t="shared" si="123"/>
        <v>0</v>
      </c>
      <c r="I269" s="218">
        <f t="shared" si="123"/>
        <v>0</v>
      </c>
      <c r="J269" s="218">
        <f t="shared" si="123"/>
        <v>0</v>
      </c>
      <c r="K269" s="218">
        <f t="shared" si="123"/>
        <v>0</v>
      </c>
      <c r="L269" s="218">
        <f t="shared" si="123"/>
        <v>0</v>
      </c>
      <c r="M269" s="218">
        <f t="shared" si="123"/>
        <v>0</v>
      </c>
      <c r="N269" s="218">
        <f t="shared" si="123"/>
        <v>0</v>
      </c>
      <c r="O269" s="218">
        <f t="shared" si="123"/>
        <v>0</v>
      </c>
      <c r="P269" s="218">
        <f t="shared" si="123"/>
        <v>0</v>
      </c>
      <c r="Q269" s="218">
        <f t="shared" si="123"/>
        <v>0</v>
      </c>
      <c r="R269" s="218">
        <f t="shared" si="123"/>
        <v>0</v>
      </c>
      <c r="S269" s="218">
        <f t="shared" si="123"/>
        <v>0</v>
      </c>
      <c r="T269" s="218">
        <f t="shared" si="123"/>
        <v>0</v>
      </c>
      <c r="U269" s="218">
        <f t="shared" si="123"/>
        <v>0</v>
      </c>
      <c r="V269" s="218">
        <f t="shared" si="123"/>
        <v>0</v>
      </c>
      <c r="W269" s="218">
        <f t="shared" si="123"/>
        <v>0</v>
      </c>
      <c r="X269" s="218">
        <f t="shared" si="123"/>
        <v>0</v>
      </c>
      <c r="Y269" s="218">
        <f t="shared" si="123"/>
        <v>0</v>
      </c>
      <c r="Z269" s="218">
        <f t="shared" si="123"/>
        <v>0</v>
      </c>
      <c r="AA269" s="218">
        <f t="shared" si="123"/>
        <v>0</v>
      </c>
      <c r="AB269" s="218">
        <f t="shared" si="123"/>
        <v>0</v>
      </c>
      <c r="AC269" s="218">
        <f t="shared" si="123"/>
        <v>0</v>
      </c>
      <c r="AD269" s="218">
        <f t="shared" si="123"/>
        <v>0</v>
      </c>
      <c r="AE269" s="218">
        <f t="shared" si="123"/>
        <v>0</v>
      </c>
    </row>
    <row r="270" spans="1:31" x14ac:dyDescent="0.3">
      <c r="A270" s="420"/>
      <c r="B270" s="421"/>
      <c r="C270" s="216" t="s">
        <v>19</v>
      </c>
      <c r="D270" s="218">
        <f t="shared" ref="D270:AE270" si="124">D11+D16+D19</f>
        <v>10000</v>
      </c>
      <c r="E270" s="218">
        <f t="shared" si="124"/>
        <v>0</v>
      </c>
      <c r="F270" s="218">
        <f t="shared" si="124"/>
        <v>0</v>
      </c>
      <c r="G270" s="218">
        <f t="shared" si="124"/>
        <v>0</v>
      </c>
      <c r="H270" s="218">
        <f t="shared" si="124"/>
        <v>0</v>
      </c>
      <c r="I270" s="218">
        <f t="shared" si="124"/>
        <v>0</v>
      </c>
      <c r="J270" s="218">
        <f t="shared" si="124"/>
        <v>10000</v>
      </c>
      <c r="K270" s="218">
        <f t="shared" si="124"/>
        <v>0</v>
      </c>
      <c r="L270" s="218">
        <f t="shared" si="124"/>
        <v>0</v>
      </c>
      <c r="M270" s="218">
        <f t="shared" si="124"/>
        <v>0</v>
      </c>
      <c r="N270" s="218">
        <f t="shared" si="124"/>
        <v>0</v>
      </c>
      <c r="O270" s="218">
        <f t="shared" si="124"/>
        <v>0</v>
      </c>
      <c r="P270" s="218">
        <f t="shared" si="124"/>
        <v>10000</v>
      </c>
      <c r="Q270" s="218">
        <f t="shared" si="124"/>
        <v>0</v>
      </c>
      <c r="R270" s="218">
        <f t="shared" si="124"/>
        <v>0</v>
      </c>
      <c r="S270" s="218">
        <f t="shared" si="124"/>
        <v>0</v>
      </c>
      <c r="T270" s="218">
        <f t="shared" si="124"/>
        <v>0</v>
      </c>
      <c r="U270" s="218">
        <f t="shared" si="124"/>
        <v>0</v>
      </c>
      <c r="V270" s="218">
        <f t="shared" si="124"/>
        <v>10000</v>
      </c>
      <c r="W270" s="218">
        <f t="shared" si="124"/>
        <v>-3764</v>
      </c>
      <c r="X270" s="218">
        <f t="shared" si="124"/>
        <v>0</v>
      </c>
      <c r="Y270" s="218">
        <f t="shared" si="124"/>
        <v>0</v>
      </c>
      <c r="Z270" s="218">
        <f t="shared" si="124"/>
        <v>0</v>
      </c>
      <c r="AA270" s="218">
        <f t="shared" si="124"/>
        <v>0</v>
      </c>
      <c r="AB270" s="218">
        <f t="shared" si="124"/>
        <v>0</v>
      </c>
      <c r="AC270" s="218">
        <f t="shared" si="124"/>
        <v>0</v>
      </c>
      <c r="AD270" s="218">
        <f t="shared" si="124"/>
        <v>6236</v>
      </c>
      <c r="AE270" s="218">
        <f t="shared" si="124"/>
        <v>6236</v>
      </c>
    </row>
    <row r="271" spans="1:31" x14ac:dyDescent="0.3">
      <c r="A271" s="420"/>
      <c r="B271" s="421"/>
      <c r="C271" s="216" t="s">
        <v>84</v>
      </c>
      <c r="D271" s="218">
        <f>D18+D13</f>
        <v>12000</v>
      </c>
      <c r="E271" s="218">
        <f>E18+E13+E19</f>
        <v>0</v>
      </c>
      <c r="F271" s="218">
        <f t="shared" ref="F271:AE271" si="125">F18+F13</f>
        <v>0</v>
      </c>
      <c r="G271" s="218">
        <f t="shared" si="125"/>
        <v>0</v>
      </c>
      <c r="H271" s="218">
        <f t="shared" si="125"/>
        <v>0</v>
      </c>
      <c r="I271" s="218">
        <f t="shared" si="125"/>
        <v>0</v>
      </c>
      <c r="J271" s="218">
        <f t="shared" si="125"/>
        <v>12000</v>
      </c>
      <c r="K271" s="218">
        <f>K13</f>
        <v>-945</v>
      </c>
      <c r="L271" s="218">
        <f t="shared" si="125"/>
        <v>0</v>
      </c>
      <c r="M271" s="218">
        <f t="shared" si="125"/>
        <v>0</v>
      </c>
      <c r="N271" s="218">
        <f t="shared" si="125"/>
        <v>0</v>
      </c>
      <c r="O271" s="218">
        <f t="shared" si="125"/>
        <v>0</v>
      </c>
      <c r="P271" s="218">
        <f t="shared" si="125"/>
        <v>11055</v>
      </c>
      <c r="Q271" s="218">
        <f t="shared" si="125"/>
        <v>2000</v>
      </c>
      <c r="R271" s="218">
        <f t="shared" si="125"/>
        <v>0</v>
      </c>
      <c r="S271" s="218">
        <f t="shared" si="125"/>
        <v>0</v>
      </c>
      <c r="T271" s="218">
        <f t="shared" si="125"/>
        <v>0</v>
      </c>
      <c r="U271" s="218">
        <f t="shared" si="125"/>
        <v>0</v>
      </c>
      <c r="V271" s="218">
        <f t="shared" si="125"/>
        <v>13055</v>
      </c>
      <c r="W271" s="218">
        <f t="shared" si="125"/>
        <v>20003</v>
      </c>
      <c r="X271" s="218">
        <f t="shared" si="125"/>
        <v>55199</v>
      </c>
      <c r="Y271" s="218">
        <f t="shared" si="125"/>
        <v>0</v>
      </c>
      <c r="Z271" s="218">
        <f t="shared" si="125"/>
        <v>0</v>
      </c>
      <c r="AA271" s="218">
        <f t="shared" si="125"/>
        <v>0</v>
      </c>
      <c r="AB271" s="218">
        <f t="shared" si="125"/>
        <v>0</v>
      </c>
      <c r="AC271" s="218">
        <f t="shared" si="125"/>
        <v>0</v>
      </c>
      <c r="AD271" s="218">
        <f t="shared" si="125"/>
        <v>88257</v>
      </c>
      <c r="AE271" s="218">
        <f t="shared" si="125"/>
        <v>88257</v>
      </c>
    </row>
    <row r="272" spans="1:31" x14ac:dyDescent="0.3">
      <c r="A272" s="420"/>
      <c r="B272" s="421"/>
      <c r="C272" s="217" t="s">
        <v>20</v>
      </c>
      <c r="D272" s="218">
        <f t="shared" ref="D272:AE272" si="126">D12+D17</f>
        <v>2000</v>
      </c>
      <c r="E272" s="218">
        <f t="shared" si="126"/>
        <v>0</v>
      </c>
      <c r="F272" s="218">
        <f t="shared" si="126"/>
        <v>0</v>
      </c>
      <c r="G272" s="218">
        <f t="shared" si="126"/>
        <v>0</v>
      </c>
      <c r="H272" s="218">
        <f t="shared" si="126"/>
        <v>0</v>
      </c>
      <c r="I272" s="218">
        <f t="shared" si="126"/>
        <v>0</v>
      </c>
      <c r="J272" s="218">
        <f t="shared" si="126"/>
        <v>2000</v>
      </c>
      <c r="K272" s="218">
        <f t="shared" si="126"/>
        <v>0</v>
      </c>
      <c r="L272" s="218">
        <f t="shared" si="126"/>
        <v>0</v>
      </c>
      <c r="M272" s="218">
        <f t="shared" si="126"/>
        <v>0</v>
      </c>
      <c r="N272" s="218">
        <f t="shared" si="126"/>
        <v>0</v>
      </c>
      <c r="O272" s="218">
        <f t="shared" si="126"/>
        <v>0</v>
      </c>
      <c r="P272" s="218">
        <f t="shared" si="126"/>
        <v>2000</v>
      </c>
      <c r="Q272" s="218">
        <f t="shared" si="126"/>
        <v>0</v>
      </c>
      <c r="R272" s="218">
        <f t="shared" si="126"/>
        <v>0</v>
      </c>
      <c r="S272" s="218">
        <f t="shared" si="126"/>
        <v>0</v>
      </c>
      <c r="T272" s="218">
        <f t="shared" si="126"/>
        <v>0</v>
      </c>
      <c r="U272" s="218">
        <f t="shared" si="126"/>
        <v>0</v>
      </c>
      <c r="V272" s="218">
        <f t="shared" si="126"/>
        <v>2000</v>
      </c>
      <c r="W272" s="218">
        <f t="shared" si="126"/>
        <v>-1239</v>
      </c>
      <c r="X272" s="218">
        <f t="shared" si="126"/>
        <v>0</v>
      </c>
      <c r="Y272" s="218">
        <f t="shared" si="126"/>
        <v>0</v>
      </c>
      <c r="Z272" s="218">
        <f t="shared" si="126"/>
        <v>0</v>
      </c>
      <c r="AA272" s="218">
        <f t="shared" si="126"/>
        <v>0</v>
      </c>
      <c r="AB272" s="218">
        <f t="shared" si="126"/>
        <v>0</v>
      </c>
      <c r="AC272" s="218">
        <f t="shared" si="126"/>
        <v>0</v>
      </c>
      <c r="AD272" s="218">
        <f t="shared" si="126"/>
        <v>761</v>
      </c>
      <c r="AE272" s="218">
        <f t="shared" si="126"/>
        <v>761</v>
      </c>
    </row>
    <row r="273" spans="1:31" x14ac:dyDescent="0.3">
      <c r="A273" s="420"/>
      <c r="B273" s="421"/>
      <c r="C273" s="239" t="s">
        <v>202</v>
      </c>
      <c r="D273" s="218"/>
      <c r="E273" s="218"/>
      <c r="F273" s="218"/>
      <c r="G273" s="218"/>
      <c r="H273" s="218"/>
      <c r="I273" s="218"/>
      <c r="J273" s="218">
        <v>0</v>
      </c>
      <c r="K273" s="218">
        <f>K15</f>
        <v>945</v>
      </c>
      <c r="L273" s="218">
        <f>L13+L18</f>
        <v>0</v>
      </c>
      <c r="M273" s="218">
        <f>M13+M18</f>
        <v>0</v>
      </c>
      <c r="N273" s="218">
        <f>N13+N18</f>
        <v>0</v>
      </c>
      <c r="O273" s="218">
        <f>O13+O18</f>
        <v>0</v>
      </c>
      <c r="P273" s="218">
        <f>P15</f>
        <v>945</v>
      </c>
      <c r="Q273" s="218">
        <f t="shared" ref="Q273:AD273" si="127">Q15</f>
        <v>0</v>
      </c>
      <c r="R273" s="218">
        <f t="shared" si="127"/>
        <v>0</v>
      </c>
      <c r="S273" s="218">
        <f t="shared" si="127"/>
        <v>0</v>
      </c>
      <c r="T273" s="218">
        <f t="shared" si="127"/>
        <v>0</v>
      </c>
      <c r="U273" s="218">
        <f t="shared" si="127"/>
        <v>0</v>
      </c>
      <c r="V273" s="218">
        <f t="shared" si="127"/>
        <v>945</v>
      </c>
      <c r="W273" s="218">
        <f t="shared" si="127"/>
        <v>0</v>
      </c>
      <c r="X273" s="218">
        <f t="shared" si="127"/>
        <v>0</v>
      </c>
      <c r="Y273" s="218">
        <f t="shared" si="127"/>
        <v>0</v>
      </c>
      <c r="Z273" s="218">
        <f t="shared" si="127"/>
        <v>0</v>
      </c>
      <c r="AA273" s="218">
        <f t="shared" si="127"/>
        <v>0</v>
      </c>
      <c r="AB273" s="218">
        <f t="shared" si="127"/>
        <v>0</v>
      </c>
      <c r="AC273" s="218">
        <f t="shared" si="127"/>
        <v>0</v>
      </c>
      <c r="AD273" s="218">
        <f t="shared" si="127"/>
        <v>945</v>
      </c>
      <c r="AE273" s="218">
        <f>AE15</f>
        <v>945</v>
      </c>
    </row>
    <row r="274" spans="1:31" x14ac:dyDescent="0.3">
      <c r="A274" s="420"/>
      <c r="B274" s="421"/>
      <c r="C274" s="219" t="s">
        <v>86</v>
      </c>
      <c r="D274" s="220">
        <f>D18+D17+D13+D12+D11+D19+D16+D14</f>
        <v>144000</v>
      </c>
      <c r="E274" s="220">
        <f>E18+E17+E13+E12+E11+E19+E16+E14</f>
        <v>0</v>
      </c>
      <c r="F274" s="220">
        <f>F18+F17+F13+F12+F11+F19+F16</f>
        <v>0</v>
      </c>
      <c r="G274" s="220">
        <f>G18+G17+G13+G12+G11+G19+G16</f>
        <v>0</v>
      </c>
      <c r="H274" s="220">
        <f>H18+H17+H13+H12+H11+H19+H16</f>
        <v>0</v>
      </c>
      <c r="I274" s="220">
        <f>I18+I17+I13+I12+I11+I19+I16</f>
        <v>0</v>
      </c>
      <c r="J274" s="220">
        <f>J18+J17+J13+J12+J11+J19+J16+J14</f>
        <v>144000</v>
      </c>
      <c r="K274" s="220">
        <f>K18+K17+K12+K11+K19+K16+K14+K13</f>
        <v>-945</v>
      </c>
      <c r="L274" s="220">
        <f t="shared" ref="L274:AE274" si="128">L18+L17+L13+L12+L11+L19+L16+L14</f>
        <v>0</v>
      </c>
      <c r="M274" s="220">
        <f t="shared" si="128"/>
        <v>0</v>
      </c>
      <c r="N274" s="220">
        <f t="shared" si="128"/>
        <v>0</v>
      </c>
      <c r="O274" s="220">
        <f t="shared" si="128"/>
        <v>0</v>
      </c>
      <c r="P274" s="220">
        <f t="shared" si="128"/>
        <v>143055</v>
      </c>
      <c r="Q274" s="220">
        <f t="shared" si="128"/>
        <v>0</v>
      </c>
      <c r="R274" s="220">
        <f t="shared" si="128"/>
        <v>0</v>
      </c>
      <c r="S274" s="220">
        <f t="shared" si="128"/>
        <v>0</v>
      </c>
      <c r="T274" s="220">
        <f t="shared" si="128"/>
        <v>0</v>
      </c>
      <c r="U274" s="220">
        <f t="shared" si="128"/>
        <v>0</v>
      </c>
      <c r="V274" s="220">
        <f t="shared" si="128"/>
        <v>143055</v>
      </c>
      <c r="W274" s="220">
        <f t="shared" si="128"/>
        <v>0</v>
      </c>
      <c r="X274" s="220">
        <f t="shared" si="128"/>
        <v>55199</v>
      </c>
      <c r="Y274" s="220">
        <f t="shared" si="128"/>
        <v>0</v>
      </c>
      <c r="Z274" s="220">
        <f t="shared" si="128"/>
        <v>0</v>
      </c>
      <c r="AA274" s="220">
        <f t="shared" si="128"/>
        <v>0</v>
      </c>
      <c r="AB274" s="220">
        <f t="shared" si="128"/>
        <v>0</v>
      </c>
      <c r="AC274" s="220">
        <f t="shared" si="128"/>
        <v>0</v>
      </c>
      <c r="AD274" s="220">
        <f t="shared" si="128"/>
        <v>198254</v>
      </c>
      <c r="AE274" s="220">
        <f t="shared" si="128"/>
        <v>198254</v>
      </c>
    </row>
    <row r="275" spans="1:31" x14ac:dyDescent="0.3">
      <c r="A275" s="420"/>
      <c r="B275" s="421"/>
      <c r="C275" s="219" t="s">
        <v>205</v>
      </c>
      <c r="D275" s="220"/>
      <c r="E275" s="220"/>
      <c r="F275" s="220"/>
      <c r="G275" s="220"/>
      <c r="H275" s="220"/>
      <c r="I275" s="220"/>
      <c r="J275" s="220">
        <f>J15</f>
        <v>0</v>
      </c>
      <c r="K275" s="220">
        <f>K15</f>
        <v>945</v>
      </c>
      <c r="L275" s="220">
        <f>L19+L18+L14+L13+L12+L20+L17+L15</f>
        <v>0</v>
      </c>
      <c r="M275" s="220">
        <f>M19+M18+M14+M13+M12+M20+M17+M15</f>
        <v>0</v>
      </c>
      <c r="N275" s="220">
        <f>N19+N18+N14+N13+N12+N20+N17+N15</f>
        <v>0</v>
      </c>
      <c r="O275" s="220">
        <f>O19+O18+O14+O13+O12+O20+O17+O15</f>
        <v>0</v>
      </c>
      <c r="P275" s="220">
        <f>P15</f>
        <v>945</v>
      </c>
      <c r="Q275" s="220">
        <f t="shared" ref="Q275:U275" si="129">Q15</f>
        <v>0</v>
      </c>
      <c r="R275" s="220">
        <f t="shared" si="129"/>
        <v>0</v>
      </c>
      <c r="S275" s="220">
        <f t="shared" si="129"/>
        <v>0</v>
      </c>
      <c r="T275" s="220">
        <f t="shared" si="129"/>
        <v>0</v>
      </c>
      <c r="U275" s="220">
        <f t="shared" si="129"/>
        <v>0</v>
      </c>
      <c r="V275" s="220">
        <f t="shared" ref="V275:AD275" si="130">V15</f>
        <v>945</v>
      </c>
      <c r="W275" s="220">
        <f t="shared" si="130"/>
        <v>0</v>
      </c>
      <c r="X275" s="220">
        <f t="shared" si="130"/>
        <v>0</v>
      </c>
      <c r="Y275" s="220">
        <f t="shared" si="130"/>
        <v>0</v>
      </c>
      <c r="Z275" s="220">
        <f t="shared" si="130"/>
        <v>0</v>
      </c>
      <c r="AA275" s="220">
        <f t="shared" si="130"/>
        <v>0</v>
      </c>
      <c r="AB275" s="220">
        <f t="shared" si="130"/>
        <v>0</v>
      </c>
      <c r="AC275" s="220">
        <f t="shared" si="130"/>
        <v>0</v>
      </c>
      <c r="AD275" s="220">
        <f t="shared" si="130"/>
        <v>945</v>
      </c>
      <c r="AE275" s="220">
        <f>AE15</f>
        <v>945</v>
      </c>
    </row>
    <row r="276" spans="1:31" x14ac:dyDescent="0.3">
      <c r="A276" s="420"/>
      <c r="B276" s="421"/>
      <c r="C276" s="219" t="s">
        <v>87</v>
      </c>
      <c r="D276" s="220">
        <f>D29+D27+D25+D23+D21+D8+D6</f>
        <v>147964555</v>
      </c>
      <c r="E276" s="220">
        <f t="shared" ref="E276:J276" si="131">E29+E27+E25+E23+E21+E8+E6</f>
        <v>14151630</v>
      </c>
      <c r="F276" s="220">
        <f t="shared" si="131"/>
        <v>0</v>
      </c>
      <c r="G276" s="220">
        <f t="shared" si="131"/>
        <v>0</v>
      </c>
      <c r="H276" s="220">
        <f t="shared" si="131"/>
        <v>0</v>
      </c>
      <c r="I276" s="220">
        <f t="shared" si="131"/>
        <v>0</v>
      </c>
      <c r="J276" s="220">
        <f t="shared" si="131"/>
        <v>162116185</v>
      </c>
      <c r="K276" s="220">
        <f t="shared" ref="K276:AE276" si="132">K29+K27+K25+K23+K21+K8+K6</f>
        <v>0</v>
      </c>
      <c r="L276" s="220">
        <f t="shared" si="132"/>
        <v>0</v>
      </c>
      <c r="M276" s="220">
        <f t="shared" si="132"/>
        <v>0</v>
      </c>
      <c r="N276" s="220">
        <f t="shared" si="132"/>
        <v>0</v>
      </c>
      <c r="O276" s="220">
        <f t="shared" si="132"/>
        <v>0</v>
      </c>
      <c r="P276" s="220">
        <f t="shared" si="132"/>
        <v>162116185</v>
      </c>
      <c r="Q276" s="220">
        <f t="shared" si="132"/>
        <v>0</v>
      </c>
      <c r="R276" s="220">
        <f t="shared" si="132"/>
        <v>-5387603</v>
      </c>
      <c r="S276" s="220">
        <f t="shared" si="132"/>
        <v>0</v>
      </c>
      <c r="T276" s="220">
        <f t="shared" si="132"/>
        <v>0</v>
      </c>
      <c r="U276" s="220">
        <f t="shared" si="132"/>
        <v>0</v>
      </c>
      <c r="V276" s="220">
        <f t="shared" si="132"/>
        <v>156728582</v>
      </c>
      <c r="W276" s="220">
        <f t="shared" si="132"/>
        <v>0</v>
      </c>
      <c r="X276" s="220">
        <f t="shared" si="132"/>
        <v>0</v>
      </c>
      <c r="Y276" s="220">
        <f t="shared" si="132"/>
        <v>0</v>
      </c>
      <c r="Z276" s="220">
        <f t="shared" si="132"/>
        <v>-187431</v>
      </c>
      <c r="AA276" s="220">
        <f t="shared" si="132"/>
        <v>0</v>
      </c>
      <c r="AB276" s="220">
        <f t="shared" si="132"/>
        <v>0</v>
      </c>
      <c r="AC276" s="220">
        <f t="shared" si="132"/>
        <v>0</v>
      </c>
      <c r="AD276" s="220">
        <f t="shared" si="132"/>
        <v>156541151</v>
      </c>
      <c r="AE276" s="220">
        <f t="shared" si="132"/>
        <v>156541151</v>
      </c>
    </row>
    <row r="277" spans="1:31" x14ac:dyDescent="0.3">
      <c r="A277" s="420"/>
      <c r="B277" s="421"/>
      <c r="C277" s="219" t="s">
        <v>94</v>
      </c>
      <c r="D277" s="220">
        <f t="shared" ref="D277:AE277" si="133">D30</f>
        <v>249848164</v>
      </c>
      <c r="E277" s="220">
        <f t="shared" si="133"/>
        <v>0</v>
      </c>
      <c r="F277" s="220">
        <f t="shared" si="133"/>
        <v>0</v>
      </c>
      <c r="G277" s="220">
        <f t="shared" si="133"/>
        <v>0</v>
      </c>
      <c r="H277" s="220">
        <f t="shared" si="133"/>
        <v>0</v>
      </c>
      <c r="I277" s="220">
        <f t="shared" si="133"/>
        <v>0</v>
      </c>
      <c r="J277" s="220">
        <f t="shared" si="133"/>
        <v>249848164</v>
      </c>
      <c r="K277" s="220">
        <f t="shared" si="133"/>
        <v>0</v>
      </c>
      <c r="L277" s="220">
        <f t="shared" si="133"/>
        <v>73635</v>
      </c>
      <c r="M277" s="220">
        <f t="shared" si="133"/>
        <v>0</v>
      </c>
      <c r="N277" s="220">
        <f t="shared" si="133"/>
        <v>0</v>
      </c>
      <c r="O277" s="220">
        <f t="shared" si="133"/>
        <v>0</v>
      </c>
      <c r="P277" s="220">
        <f t="shared" si="133"/>
        <v>249921799</v>
      </c>
      <c r="Q277" s="220">
        <f t="shared" si="133"/>
        <v>0</v>
      </c>
      <c r="R277" s="220">
        <f t="shared" si="133"/>
        <v>-5387603</v>
      </c>
      <c r="S277" s="220">
        <f t="shared" si="133"/>
        <v>50624</v>
      </c>
      <c r="T277" s="220">
        <f t="shared" si="133"/>
        <v>0</v>
      </c>
      <c r="U277" s="220">
        <f t="shared" si="133"/>
        <v>0</v>
      </c>
      <c r="V277" s="220">
        <f t="shared" si="133"/>
        <v>244584820</v>
      </c>
      <c r="W277" s="220">
        <f t="shared" si="133"/>
        <v>0</v>
      </c>
      <c r="X277" s="220">
        <f t="shared" si="133"/>
        <v>55199</v>
      </c>
      <c r="Y277" s="220">
        <f t="shared" si="133"/>
        <v>25312</v>
      </c>
      <c r="Z277" s="220">
        <f t="shared" si="133"/>
        <v>-187431</v>
      </c>
      <c r="AA277" s="220">
        <f t="shared" si="133"/>
        <v>-1000000</v>
      </c>
      <c r="AB277" s="220">
        <f t="shared" si="133"/>
        <v>0</v>
      </c>
      <c r="AC277" s="220">
        <f t="shared" si="133"/>
        <v>0</v>
      </c>
      <c r="AD277" s="220">
        <f t="shared" si="133"/>
        <v>243477900</v>
      </c>
      <c r="AE277" s="220">
        <f t="shared" si="133"/>
        <v>243477900</v>
      </c>
    </row>
    <row r="278" spans="1:31" x14ac:dyDescent="0.3">
      <c r="A278" s="420"/>
      <c r="B278" s="421"/>
      <c r="C278" s="217" t="s">
        <v>24</v>
      </c>
      <c r="D278" s="218">
        <f t="shared" ref="D278:I278" si="134">D103+D127+D130+D153+D156+D178+D181+D204+D226+D253+D207+D100+D98+D62+D31</f>
        <v>186096684</v>
      </c>
      <c r="E278" s="218">
        <f t="shared" si="134"/>
        <v>-1144145</v>
      </c>
      <c r="F278" s="218">
        <f t="shared" si="134"/>
        <v>0</v>
      </c>
      <c r="G278" s="218">
        <f t="shared" si="134"/>
        <v>0</v>
      </c>
      <c r="H278" s="218">
        <f t="shared" si="134"/>
        <v>0</v>
      </c>
      <c r="I278" s="218">
        <f t="shared" si="134"/>
        <v>0</v>
      </c>
      <c r="J278" s="218">
        <f t="shared" ref="J278:AE278" si="135">J253+J226+J207+J204+J181+J178+J156+J153+J130+J127+J103+J100+J98+J62+J31</f>
        <v>184952539</v>
      </c>
      <c r="K278" s="218">
        <f t="shared" si="135"/>
        <v>-346218</v>
      </c>
      <c r="L278" s="218">
        <f t="shared" si="135"/>
        <v>65164</v>
      </c>
      <c r="M278" s="218">
        <f t="shared" si="135"/>
        <v>0</v>
      </c>
      <c r="N278" s="218">
        <f t="shared" si="135"/>
        <v>0</v>
      </c>
      <c r="O278" s="218">
        <f t="shared" si="135"/>
        <v>0</v>
      </c>
      <c r="P278" s="218">
        <f t="shared" si="135"/>
        <v>184671485</v>
      </c>
      <c r="Q278" s="218">
        <f t="shared" si="135"/>
        <v>-1923410</v>
      </c>
      <c r="R278" s="218">
        <f t="shared" si="135"/>
        <v>-4767812</v>
      </c>
      <c r="S278" s="218">
        <f t="shared" si="135"/>
        <v>44800</v>
      </c>
      <c r="T278" s="218">
        <f t="shared" si="135"/>
        <v>0</v>
      </c>
      <c r="U278" s="218">
        <f t="shared" si="135"/>
        <v>0</v>
      </c>
      <c r="V278" s="218">
        <f t="shared" si="135"/>
        <v>178025063</v>
      </c>
      <c r="W278" s="218">
        <f t="shared" si="135"/>
        <v>197</v>
      </c>
      <c r="X278" s="218">
        <f t="shared" si="135"/>
        <v>0</v>
      </c>
      <c r="Y278" s="218">
        <f t="shared" si="135"/>
        <v>22400</v>
      </c>
      <c r="Z278" s="218">
        <f t="shared" si="135"/>
        <v>-165878</v>
      </c>
      <c r="AA278" s="218">
        <f t="shared" si="135"/>
        <v>-984</v>
      </c>
      <c r="AB278" s="218">
        <f t="shared" si="135"/>
        <v>0</v>
      </c>
      <c r="AC278" s="218">
        <f t="shared" si="135"/>
        <v>0</v>
      </c>
      <c r="AD278" s="218">
        <f t="shared" si="135"/>
        <v>177880798</v>
      </c>
      <c r="AE278" s="218">
        <f t="shared" si="135"/>
        <v>170415452</v>
      </c>
    </row>
    <row r="279" spans="1:31" x14ac:dyDescent="0.3">
      <c r="A279" s="420"/>
      <c r="B279" s="421"/>
      <c r="C279" s="217" t="s">
        <v>47</v>
      </c>
      <c r="D279" s="218">
        <f>D63</f>
        <v>2541000</v>
      </c>
      <c r="E279" s="218">
        <f>E63+E32</f>
        <v>0</v>
      </c>
      <c r="F279" s="218">
        <f t="shared" ref="F279:AE279" si="136">F63</f>
        <v>0</v>
      </c>
      <c r="G279" s="218">
        <f t="shared" si="136"/>
        <v>0</v>
      </c>
      <c r="H279" s="218">
        <f t="shared" si="136"/>
        <v>0</v>
      </c>
      <c r="I279" s="218">
        <f t="shared" si="136"/>
        <v>0</v>
      </c>
      <c r="J279" s="218">
        <f t="shared" si="136"/>
        <v>2541000</v>
      </c>
      <c r="K279" s="221">
        <f t="shared" si="136"/>
        <v>0</v>
      </c>
      <c r="L279" s="221">
        <f t="shared" si="136"/>
        <v>0</v>
      </c>
      <c r="M279" s="221">
        <f t="shared" si="136"/>
        <v>0</v>
      </c>
      <c r="N279" s="221">
        <f t="shared" si="136"/>
        <v>0</v>
      </c>
      <c r="O279" s="221">
        <f t="shared" si="136"/>
        <v>0</v>
      </c>
      <c r="P279" s="229">
        <f t="shared" si="136"/>
        <v>2541000</v>
      </c>
      <c r="Q279" s="229">
        <f t="shared" si="136"/>
        <v>385000</v>
      </c>
      <c r="R279" s="229">
        <f t="shared" si="136"/>
        <v>0</v>
      </c>
      <c r="S279" s="229">
        <f t="shared" si="136"/>
        <v>0</v>
      </c>
      <c r="T279" s="229">
        <f t="shared" si="136"/>
        <v>0</v>
      </c>
      <c r="U279" s="229">
        <f t="shared" si="136"/>
        <v>0</v>
      </c>
      <c r="V279" s="229">
        <f t="shared" si="136"/>
        <v>2926000</v>
      </c>
      <c r="W279" s="229">
        <f t="shared" si="136"/>
        <v>0</v>
      </c>
      <c r="X279" s="229">
        <f t="shared" si="136"/>
        <v>0</v>
      </c>
      <c r="Y279" s="229">
        <f t="shared" si="136"/>
        <v>0</v>
      </c>
      <c r="Z279" s="229">
        <f t="shared" si="136"/>
        <v>0</v>
      </c>
      <c r="AA279" s="229">
        <f t="shared" si="136"/>
        <v>0</v>
      </c>
      <c r="AB279" s="229">
        <f t="shared" si="136"/>
        <v>0</v>
      </c>
      <c r="AC279" s="229">
        <f t="shared" si="136"/>
        <v>0</v>
      </c>
      <c r="AD279" s="229">
        <f t="shared" si="136"/>
        <v>2926000</v>
      </c>
      <c r="AE279" s="229">
        <f t="shared" si="136"/>
        <v>2904682</v>
      </c>
    </row>
    <row r="280" spans="1:31" x14ac:dyDescent="0.3">
      <c r="A280" s="420"/>
      <c r="B280" s="421"/>
      <c r="C280" s="217" t="s">
        <v>48</v>
      </c>
      <c r="D280" s="218">
        <f>D64+D33+D227</f>
        <v>889200</v>
      </c>
      <c r="E280" s="218">
        <f>E64+E33+E227</f>
        <v>0</v>
      </c>
      <c r="F280" s="218">
        <f>F64+F33</f>
        <v>0</v>
      </c>
      <c r="G280" s="218">
        <f>G64+G33</f>
        <v>0</v>
      </c>
      <c r="H280" s="218">
        <f>H64+H33</f>
        <v>0</v>
      </c>
      <c r="I280" s="218">
        <f>I64+I33</f>
        <v>0</v>
      </c>
      <c r="J280" s="218">
        <f>J64+J33+J227</f>
        <v>889200</v>
      </c>
      <c r="K280" s="218">
        <f>K64+K33</f>
        <v>0</v>
      </c>
      <c r="L280" s="218">
        <f>L64+L33</f>
        <v>0</v>
      </c>
      <c r="M280" s="218">
        <f>M64+M33</f>
        <v>0</v>
      </c>
      <c r="N280" s="218">
        <f>N64+N33</f>
        <v>0</v>
      </c>
      <c r="O280" s="218">
        <f>O64+O33</f>
        <v>0</v>
      </c>
      <c r="P280" s="218">
        <f>P33+P64+P227</f>
        <v>889200</v>
      </c>
      <c r="Q280" s="218">
        <f t="shared" ref="Q280:U280" si="137">Q64+Q33</f>
        <v>0</v>
      </c>
      <c r="R280" s="218">
        <f t="shared" si="137"/>
        <v>0</v>
      </c>
      <c r="S280" s="218">
        <f t="shared" si="137"/>
        <v>0</v>
      </c>
      <c r="T280" s="218">
        <f t="shared" si="137"/>
        <v>0</v>
      </c>
      <c r="U280" s="218">
        <f t="shared" si="137"/>
        <v>0</v>
      </c>
      <c r="V280" s="218">
        <f>V64+V33+V227</f>
        <v>889200</v>
      </c>
      <c r="W280" s="218">
        <f t="shared" ref="W280:AD280" si="138">W64+W33+W227</f>
        <v>0</v>
      </c>
      <c r="X280" s="218">
        <f t="shared" si="138"/>
        <v>0</v>
      </c>
      <c r="Y280" s="218">
        <f t="shared" si="138"/>
        <v>0</v>
      </c>
      <c r="Z280" s="218">
        <f t="shared" si="138"/>
        <v>0</v>
      </c>
      <c r="AA280" s="218">
        <f t="shared" si="138"/>
        <v>0</v>
      </c>
      <c r="AB280" s="218">
        <f t="shared" si="138"/>
        <v>0</v>
      </c>
      <c r="AC280" s="218">
        <f t="shared" si="138"/>
        <v>0</v>
      </c>
      <c r="AD280" s="218">
        <f t="shared" si="138"/>
        <v>889200</v>
      </c>
      <c r="AE280" s="218">
        <f>AE64+AE33+AE227</f>
        <v>889200</v>
      </c>
    </row>
    <row r="281" spans="1:31" x14ac:dyDescent="0.3">
      <c r="A281" s="420"/>
      <c r="B281" s="421"/>
      <c r="C281" s="216" t="s">
        <v>25</v>
      </c>
      <c r="D281" s="218">
        <f t="shared" ref="D281:AE281" si="139">D228+D182+D157+D131+D104+D65+D34</f>
        <v>3730400</v>
      </c>
      <c r="E281" s="218">
        <f t="shared" si="139"/>
        <v>0</v>
      </c>
      <c r="F281" s="218">
        <f t="shared" si="139"/>
        <v>0</v>
      </c>
      <c r="G281" s="218">
        <f t="shared" si="139"/>
        <v>0</v>
      </c>
      <c r="H281" s="218">
        <f t="shared" si="139"/>
        <v>0</v>
      </c>
      <c r="I281" s="218">
        <f t="shared" si="139"/>
        <v>0</v>
      </c>
      <c r="J281" s="218">
        <f t="shared" si="139"/>
        <v>3730400</v>
      </c>
      <c r="K281" s="218">
        <f t="shared" si="139"/>
        <v>0</v>
      </c>
      <c r="L281" s="218">
        <f t="shared" si="139"/>
        <v>0</v>
      </c>
      <c r="M281" s="218">
        <f t="shared" si="139"/>
        <v>0</v>
      </c>
      <c r="N281" s="218">
        <f t="shared" si="139"/>
        <v>0</v>
      </c>
      <c r="O281" s="218">
        <f t="shared" si="139"/>
        <v>0</v>
      </c>
      <c r="P281" s="218">
        <f t="shared" si="139"/>
        <v>3730400</v>
      </c>
      <c r="Q281" s="218">
        <f t="shared" si="139"/>
        <v>1526309</v>
      </c>
      <c r="R281" s="218">
        <f t="shared" si="139"/>
        <v>0</v>
      </c>
      <c r="S281" s="218">
        <f t="shared" si="139"/>
        <v>0</v>
      </c>
      <c r="T281" s="218">
        <f t="shared" si="139"/>
        <v>0</v>
      </c>
      <c r="U281" s="218">
        <f t="shared" si="139"/>
        <v>0</v>
      </c>
      <c r="V281" s="218">
        <f t="shared" si="139"/>
        <v>5256709</v>
      </c>
      <c r="W281" s="218">
        <f t="shared" si="139"/>
        <v>-187088</v>
      </c>
      <c r="X281" s="218">
        <f t="shared" si="139"/>
        <v>0</v>
      </c>
      <c r="Y281" s="218">
        <f t="shared" si="139"/>
        <v>0</v>
      </c>
      <c r="Z281" s="218">
        <f t="shared" si="139"/>
        <v>0</v>
      </c>
      <c r="AA281" s="218">
        <f t="shared" si="139"/>
        <v>0</v>
      </c>
      <c r="AB281" s="218">
        <f t="shared" si="139"/>
        <v>0</v>
      </c>
      <c r="AC281" s="218">
        <f t="shared" si="139"/>
        <v>0</v>
      </c>
      <c r="AD281" s="218">
        <f t="shared" si="139"/>
        <v>5069621</v>
      </c>
      <c r="AE281" s="218">
        <f t="shared" si="139"/>
        <v>5033821</v>
      </c>
    </row>
    <row r="282" spans="1:31" x14ac:dyDescent="0.3">
      <c r="A282" s="420"/>
      <c r="B282" s="421"/>
      <c r="C282" s="216" t="s">
        <v>26</v>
      </c>
      <c r="D282" s="218">
        <f t="shared" ref="D282:AE282" si="140">D229+D183+D158+D132+D105+D66+D35</f>
        <v>256416</v>
      </c>
      <c r="E282" s="218">
        <f t="shared" si="140"/>
        <v>0</v>
      </c>
      <c r="F282" s="218">
        <f t="shared" si="140"/>
        <v>0</v>
      </c>
      <c r="G282" s="218">
        <f t="shared" si="140"/>
        <v>0</v>
      </c>
      <c r="H282" s="218">
        <f t="shared" si="140"/>
        <v>0</v>
      </c>
      <c r="I282" s="218">
        <f t="shared" si="140"/>
        <v>0</v>
      </c>
      <c r="J282" s="218">
        <f t="shared" si="140"/>
        <v>256416</v>
      </c>
      <c r="K282" s="218">
        <f t="shared" si="140"/>
        <v>0</v>
      </c>
      <c r="L282" s="218">
        <f t="shared" si="140"/>
        <v>0</v>
      </c>
      <c r="M282" s="218">
        <f t="shared" si="140"/>
        <v>0</v>
      </c>
      <c r="N282" s="218">
        <f t="shared" si="140"/>
        <v>0</v>
      </c>
      <c r="O282" s="218">
        <f t="shared" si="140"/>
        <v>0</v>
      </c>
      <c r="P282" s="218">
        <f t="shared" si="140"/>
        <v>256416</v>
      </c>
      <c r="Q282" s="218">
        <f t="shared" si="140"/>
        <v>0</v>
      </c>
      <c r="R282" s="218">
        <f t="shared" si="140"/>
        <v>0</v>
      </c>
      <c r="S282" s="218">
        <f t="shared" si="140"/>
        <v>0</v>
      </c>
      <c r="T282" s="218">
        <f t="shared" si="140"/>
        <v>0</v>
      </c>
      <c r="U282" s="218">
        <f t="shared" si="140"/>
        <v>0</v>
      </c>
      <c r="V282" s="218">
        <f t="shared" si="140"/>
        <v>256416</v>
      </c>
      <c r="W282" s="218">
        <f t="shared" si="140"/>
        <v>-3621</v>
      </c>
      <c r="X282" s="218">
        <f t="shared" si="140"/>
        <v>0</v>
      </c>
      <c r="Y282" s="218">
        <f t="shared" si="140"/>
        <v>0</v>
      </c>
      <c r="Z282" s="218">
        <f t="shared" si="140"/>
        <v>0</v>
      </c>
      <c r="AA282" s="218">
        <f t="shared" si="140"/>
        <v>0</v>
      </c>
      <c r="AB282" s="218">
        <f t="shared" si="140"/>
        <v>0</v>
      </c>
      <c r="AC282" s="218">
        <f t="shared" si="140"/>
        <v>0</v>
      </c>
      <c r="AD282" s="218">
        <f t="shared" si="140"/>
        <v>252795</v>
      </c>
      <c r="AE282" s="218">
        <f t="shared" si="140"/>
        <v>226964</v>
      </c>
    </row>
    <row r="283" spans="1:31" x14ac:dyDescent="0.3">
      <c r="A283" s="420"/>
      <c r="B283" s="421"/>
      <c r="C283" s="217" t="s">
        <v>27</v>
      </c>
      <c r="D283" s="218">
        <f t="shared" ref="D283:AE283" si="141">D230+D159+D106+D67+D36</f>
        <v>2314000</v>
      </c>
      <c r="E283" s="218">
        <f t="shared" si="141"/>
        <v>0</v>
      </c>
      <c r="F283" s="218">
        <f t="shared" si="141"/>
        <v>0</v>
      </c>
      <c r="G283" s="218">
        <f t="shared" si="141"/>
        <v>0</v>
      </c>
      <c r="H283" s="218">
        <f t="shared" si="141"/>
        <v>0</v>
      </c>
      <c r="I283" s="218">
        <f t="shared" si="141"/>
        <v>0</v>
      </c>
      <c r="J283" s="218">
        <f t="shared" si="141"/>
        <v>2314000</v>
      </c>
      <c r="K283" s="218">
        <f t="shared" si="141"/>
        <v>0</v>
      </c>
      <c r="L283" s="218">
        <f t="shared" si="141"/>
        <v>0</v>
      </c>
      <c r="M283" s="218">
        <f t="shared" si="141"/>
        <v>0</v>
      </c>
      <c r="N283" s="218">
        <f t="shared" si="141"/>
        <v>0</v>
      </c>
      <c r="O283" s="218">
        <f t="shared" si="141"/>
        <v>0</v>
      </c>
      <c r="P283" s="218">
        <f t="shared" si="141"/>
        <v>2314000</v>
      </c>
      <c r="Q283" s="218">
        <f t="shared" si="141"/>
        <v>-193706</v>
      </c>
      <c r="R283" s="218">
        <f t="shared" si="141"/>
        <v>0</v>
      </c>
      <c r="S283" s="218">
        <f t="shared" si="141"/>
        <v>0</v>
      </c>
      <c r="T283" s="218">
        <f t="shared" si="141"/>
        <v>0</v>
      </c>
      <c r="U283" s="218">
        <f t="shared" si="141"/>
        <v>0</v>
      </c>
      <c r="V283" s="218">
        <f t="shared" si="141"/>
        <v>2120294</v>
      </c>
      <c r="W283" s="218">
        <f t="shared" si="141"/>
        <v>98950</v>
      </c>
      <c r="X283" s="218">
        <f t="shared" si="141"/>
        <v>0</v>
      </c>
      <c r="Y283" s="218">
        <f t="shared" si="141"/>
        <v>0</v>
      </c>
      <c r="Z283" s="218">
        <f t="shared" si="141"/>
        <v>0</v>
      </c>
      <c r="AA283" s="218">
        <f t="shared" si="141"/>
        <v>0</v>
      </c>
      <c r="AB283" s="218">
        <f t="shared" si="141"/>
        <v>0</v>
      </c>
      <c r="AC283" s="218">
        <f t="shared" si="141"/>
        <v>0</v>
      </c>
      <c r="AD283" s="218">
        <f t="shared" si="141"/>
        <v>2219244</v>
      </c>
      <c r="AE283" s="218">
        <f t="shared" si="141"/>
        <v>1169745</v>
      </c>
    </row>
    <row r="284" spans="1:31" x14ac:dyDescent="0.3">
      <c r="A284" s="420"/>
      <c r="B284" s="421"/>
      <c r="C284" s="216" t="s">
        <v>28</v>
      </c>
      <c r="D284" s="218">
        <f t="shared" ref="D284:AE284" si="142">D231+D184+D160+D133+D68+D37+D107</f>
        <v>461000</v>
      </c>
      <c r="E284" s="218">
        <f t="shared" si="142"/>
        <v>0</v>
      </c>
      <c r="F284" s="218">
        <f t="shared" si="142"/>
        <v>0</v>
      </c>
      <c r="G284" s="218">
        <f t="shared" si="142"/>
        <v>0</v>
      </c>
      <c r="H284" s="218">
        <f t="shared" si="142"/>
        <v>0</v>
      </c>
      <c r="I284" s="218">
        <f t="shared" si="142"/>
        <v>0</v>
      </c>
      <c r="J284" s="218">
        <f t="shared" si="142"/>
        <v>461000</v>
      </c>
      <c r="K284" s="218">
        <f t="shared" si="142"/>
        <v>0</v>
      </c>
      <c r="L284" s="218">
        <f t="shared" si="142"/>
        <v>0</v>
      </c>
      <c r="M284" s="218">
        <f t="shared" si="142"/>
        <v>0</v>
      </c>
      <c r="N284" s="218">
        <f t="shared" si="142"/>
        <v>0</v>
      </c>
      <c r="O284" s="218">
        <f t="shared" si="142"/>
        <v>0</v>
      </c>
      <c r="P284" s="218">
        <f t="shared" si="142"/>
        <v>461000</v>
      </c>
      <c r="Q284" s="218">
        <f t="shared" si="142"/>
        <v>-459000</v>
      </c>
      <c r="R284" s="218">
        <f t="shared" si="142"/>
        <v>0</v>
      </c>
      <c r="S284" s="218">
        <f t="shared" si="142"/>
        <v>0</v>
      </c>
      <c r="T284" s="218">
        <f t="shared" si="142"/>
        <v>0</v>
      </c>
      <c r="U284" s="218">
        <f t="shared" si="142"/>
        <v>0</v>
      </c>
      <c r="V284" s="218">
        <f t="shared" si="142"/>
        <v>2000</v>
      </c>
      <c r="W284" s="218">
        <f t="shared" si="142"/>
        <v>0</v>
      </c>
      <c r="X284" s="218">
        <f t="shared" si="142"/>
        <v>0</v>
      </c>
      <c r="Y284" s="218">
        <f t="shared" si="142"/>
        <v>0</v>
      </c>
      <c r="Z284" s="218">
        <f t="shared" si="142"/>
        <v>0</v>
      </c>
      <c r="AA284" s="218">
        <f t="shared" si="142"/>
        <v>0</v>
      </c>
      <c r="AB284" s="218">
        <f t="shared" si="142"/>
        <v>0</v>
      </c>
      <c r="AC284" s="218">
        <f t="shared" si="142"/>
        <v>0</v>
      </c>
      <c r="AD284" s="218">
        <f t="shared" si="142"/>
        <v>2000</v>
      </c>
      <c r="AE284" s="218">
        <f t="shared" si="142"/>
        <v>2000</v>
      </c>
    </row>
    <row r="285" spans="1:31" x14ac:dyDescent="0.3">
      <c r="A285" s="420"/>
      <c r="B285" s="421"/>
      <c r="C285" s="216" t="s">
        <v>190</v>
      </c>
      <c r="D285" s="218">
        <f t="shared" ref="D285:AE285" si="143">SUM(D69)</f>
        <v>0</v>
      </c>
      <c r="E285" s="218">
        <f t="shared" si="143"/>
        <v>0</v>
      </c>
      <c r="F285" s="218">
        <f t="shared" si="143"/>
        <v>0</v>
      </c>
      <c r="G285" s="218">
        <f t="shared" si="143"/>
        <v>0</v>
      </c>
      <c r="H285" s="218">
        <f t="shared" si="143"/>
        <v>0</v>
      </c>
      <c r="I285" s="218">
        <f t="shared" si="143"/>
        <v>0</v>
      </c>
      <c r="J285" s="218">
        <f t="shared" si="143"/>
        <v>0</v>
      </c>
      <c r="K285" s="218">
        <f t="shared" si="143"/>
        <v>0</v>
      </c>
      <c r="L285" s="218">
        <f t="shared" si="143"/>
        <v>0</v>
      </c>
      <c r="M285" s="218">
        <f t="shared" si="143"/>
        <v>0</v>
      </c>
      <c r="N285" s="218">
        <f t="shared" si="143"/>
        <v>0</v>
      </c>
      <c r="O285" s="218">
        <f t="shared" si="143"/>
        <v>0</v>
      </c>
      <c r="P285" s="218">
        <f t="shared" si="143"/>
        <v>0</v>
      </c>
      <c r="Q285" s="218">
        <f t="shared" si="143"/>
        <v>0</v>
      </c>
      <c r="R285" s="218">
        <f t="shared" si="143"/>
        <v>0</v>
      </c>
      <c r="S285" s="218">
        <f t="shared" si="143"/>
        <v>0</v>
      </c>
      <c r="T285" s="218">
        <f t="shared" si="143"/>
        <v>0</v>
      </c>
      <c r="U285" s="218">
        <f t="shared" si="143"/>
        <v>0</v>
      </c>
      <c r="V285" s="218">
        <f t="shared" si="143"/>
        <v>0</v>
      </c>
      <c r="W285" s="218">
        <f t="shared" si="143"/>
        <v>0</v>
      </c>
      <c r="X285" s="218">
        <f t="shared" si="143"/>
        <v>0</v>
      </c>
      <c r="Y285" s="218">
        <f t="shared" si="143"/>
        <v>0</v>
      </c>
      <c r="Z285" s="218">
        <f t="shared" si="143"/>
        <v>0</v>
      </c>
      <c r="AA285" s="218">
        <f t="shared" si="143"/>
        <v>0</v>
      </c>
      <c r="AB285" s="218">
        <f t="shared" si="143"/>
        <v>0</v>
      </c>
      <c r="AC285" s="218">
        <f t="shared" si="143"/>
        <v>0</v>
      </c>
      <c r="AD285" s="218">
        <f t="shared" si="143"/>
        <v>0</v>
      </c>
      <c r="AE285" s="218">
        <f t="shared" si="143"/>
        <v>0</v>
      </c>
    </row>
    <row r="286" spans="1:31" x14ac:dyDescent="0.3">
      <c r="A286" s="420"/>
      <c r="B286" s="421"/>
      <c r="C286" s="216" t="s">
        <v>29</v>
      </c>
      <c r="D286" s="218">
        <f t="shared" ref="D286:AE286" si="144">D232+D202+D185+D161+D134+D125+D108+D96+D94+D70+D38+D151</f>
        <v>1655400</v>
      </c>
      <c r="E286" s="218">
        <f t="shared" si="144"/>
        <v>1144145</v>
      </c>
      <c r="F286" s="218">
        <f t="shared" si="144"/>
        <v>0</v>
      </c>
      <c r="G286" s="218">
        <f t="shared" si="144"/>
        <v>0</v>
      </c>
      <c r="H286" s="218">
        <f t="shared" si="144"/>
        <v>0</v>
      </c>
      <c r="I286" s="218">
        <f t="shared" si="144"/>
        <v>0</v>
      </c>
      <c r="J286" s="218">
        <f t="shared" si="144"/>
        <v>2799545</v>
      </c>
      <c r="K286" s="218">
        <f t="shared" si="144"/>
        <v>346218</v>
      </c>
      <c r="L286" s="218">
        <f t="shared" si="144"/>
        <v>0</v>
      </c>
      <c r="M286" s="218">
        <f t="shared" si="144"/>
        <v>0</v>
      </c>
      <c r="N286" s="218">
        <f t="shared" si="144"/>
        <v>0</v>
      </c>
      <c r="O286" s="218">
        <f t="shared" si="144"/>
        <v>0</v>
      </c>
      <c r="P286" s="218">
        <f t="shared" si="144"/>
        <v>3145763</v>
      </c>
      <c r="Q286" s="218">
        <f t="shared" si="144"/>
        <v>764807</v>
      </c>
      <c r="R286" s="218">
        <f t="shared" si="144"/>
        <v>0</v>
      </c>
      <c r="S286" s="218">
        <f t="shared" si="144"/>
        <v>0</v>
      </c>
      <c r="T286" s="218">
        <f t="shared" si="144"/>
        <v>0</v>
      </c>
      <c r="U286" s="218">
        <f t="shared" si="144"/>
        <v>0</v>
      </c>
      <c r="V286" s="218">
        <f t="shared" si="144"/>
        <v>3910570</v>
      </c>
      <c r="W286" s="218">
        <f t="shared" si="144"/>
        <v>174493</v>
      </c>
      <c r="X286" s="218">
        <f t="shared" si="144"/>
        <v>0</v>
      </c>
      <c r="Y286" s="218">
        <f t="shared" si="144"/>
        <v>0</v>
      </c>
      <c r="Z286" s="218">
        <f t="shared" si="144"/>
        <v>0</v>
      </c>
      <c r="AA286" s="218">
        <f t="shared" si="144"/>
        <v>0</v>
      </c>
      <c r="AB286" s="218">
        <f t="shared" si="144"/>
        <v>0</v>
      </c>
      <c r="AC286" s="218">
        <f t="shared" si="144"/>
        <v>0</v>
      </c>
      <c r="AD286" s="218">
        <f t="shared" si="144"/>
        <v>4085063</v>
      </c>
      <c r="AE286" s="218">
        <f t="shared" si="144"/>
        <v>3290163</v>
      </c>
    </row>
    <row r="287" spans="1:31" x14ac:dyDescent="0.3">
      <c r="A287" s="420"/>
      <c r="B287" s="421"/>
      <c r="C287" s="216" t="s">
        <v>30</v>
      </c>
      <c r="D287" s="218">
        <f>D186+D162+D135+D71+D39+D208+D109+D233</f>
        <v>250000</v>
      </c>
      <c r="E287" s="218">
        <f>E186+E162+E135+E71+E39+E208+E109+E233</f>
        <v>0</v>
      </c>
      <c r="F287" s="218">
        <f>F186+F162+F135+F71+F39+F208+F109</f>
        <v>0</v>
      </c>
      <c r="G287" s="218">
        <f>G186+G162+G135+G71+G39+G208+G109</f>
        <v>0</v>
      </c>
      <c r="H287" s="218">
        <f>H186+H162+H135+H71+H39+H208+H109</f>
        <v>0</v>
      </c>
      <c r="I287" s="218">
        <f>I186+I162+I135+I71+I39+I208+I109</f>
        <v>0</v>
      </c>
      <c r="J287" s="218">
        <f>J186+J162+J135+J71+J39+J208+J109+J233</f>
        <v>250000</v>
      </c>
      <c r="K287" s="218">
        <f>K186+K162+K135+K71+K39+K208+K109</f>
        <v>0</v>
      </c>
      <c r="L287" s="218">
        <f>L186+L162+L135+L71+L39+L208+L109</f>
        <v>0</v>
      </c>
      <c r="M287" s="218">
        <f>M186+M162+M135+M71+M39+M208+M109</f>
        <v>0</v>
      </c>
      <c r="N287" s="218">
        <f>N186+N162+N135+N71+N39+N208+N109</f>
        <v>0</v>
      </c>
      <c r="O287" s="218">
        <f>O186+O162+O135+O71+O39+O208+O109</f>
        <v>0</v>
      </c>
      <c r="P287" s="218">
        <f>P186+P162+P135+P71+P39+P208+P109+P233</f>
        <v>250000</v>
      </c>
      <c r="Q287" s="218">
        <f t="shared" ref="Q287:AE287" si="145">Q186+Q162+Q135+Q71+Q39+Q208+Q109</f>
        <v>0</v>
      </c>
      <c r="R287" s="218">
        <f t="shared" si="145"/>
        <v>0</v>
      </c>
      <c r="S287" s="218">
        <f t="shared" si="145"/>
        <v>0</v>
      </c>
      <c r="T287" s="218">
        <f t="shared" si="145"/>
        <v>0</v>
      </c>
      <c r="U287" s="218">
        <f t="shared" si="145"/>
        <v>0</v>
      </c>
      <c r="V287" s="218">
        <f>V186+V162+V135+V71+V39+V208+V109+V233</f>
        <v>250000</v>
      </c>
      <c r="W287" s="218">
        <f t="shared" si="145"/>
        <v>77072</v>
      </c>
      <c r="X287" s="218">
        <f t="shared" si="145"/>
        <v>0</v>
      </c>
      <c r="Y287" s="218">
        <f t="shared" si="145"/>
        <v>0</v>
      </c>
      <c r="Z287" s="218">
        <f t="shared" si="145"/>
        <v>0</v>
      </c>
      <c r="AA287" s="218">
        <f t="shared" si="145"/>
        <v>0</v>
      </c>
      <c r="AB287" s="218">
        <f t="shared" si="145"/>
        <v>0</v>
      </c>
      <c r="AC287" s="218">
        <f t="shared" si="145"/>
        <v>0</v>
      </c>
      <c r="AD287" s="218">
        <f>AD186+AD162+AD135+AD71+AD39+AD208+AD109+AD233</f>
        <v>327072</v>
      </c>
      <c r="AE287" s="218">
        <f t="shared" si="145"/>
        <v>277072</v>
      </c>
    </row>
    <row r="288" spans="1:31" x14ac:dyDescent="0.3">
      <c r="A288" s="420"/>
      <c r="B288" s="421"/>
      <c r="C288" s="219" t="s">
        <v>53</v>
      </c>
      <c r="D288" s="220">
        <f t="shared" ref="D288:AE288" si="146">D234+D209+D187+D163+D253+D204+D178+D153+D151+D202+D136+D127+D125+D110+D100+D98+D96+D94+D72+D40</f>
        <v>198194100</v>
      </c>
      <c r="E288" s="220">
        <f t="shared" si="146"/>
        <v>0</v>
      </c>
      <c r="F288" s="220">
        <f t="shared" si="146"/>
        <v>0</v>
      </c>
      <c r="G288" s="220">
        <f t="shared" si="146"/>
        <v>0</v>
      </c>
      <c r="H288" s="220">
        <f t="shared" si="146"/>
        <v>0</v>
      </c>
      <c r="I288" s="220">
        <f t="shared" si="146"/>
        <v>0</v>
      </c>
      <c r="J288" s="220">
        <f t="shared" si="146"/>
        <v>198194100</v>
      </c>
      <c r="K288" s="220">
        <f t="shared" si="146"/>
        <v>0</v>
      </c>
      <c r="L288" s="220">
        <f t="shared" si="146"/>
        <v>65164</v>
      </c>
      <c r="M288" s="220">
        <f t="shared" si="146"/>
        <v>0</v>
      </c>
      <c r="N288" s="220">
        <f t="shared" si="146"/>
        <v>0</v>
      </c>
      <c r="O288" s="220">
        <f t="shared" si="146"/>
        <v>0</v>
      </c>
      <c r="P288" s="220">
        <f t="shared" si="146"/>
        <v>198259264</v>
      </c>
      <c r="Q288" s="220">
        <f t="shared" si="146"/>
        <v>100000</v>
      </c>
      <c r="R288" s="220">
        <f t="shared" si="146"/>
        <v>-4767812</v>
      </c>
      <c r="S288" s="220">
        <f t="shared" si="146"/>
        <v>44800</v>
      </c>
      <c r="T288" s="220">
        <f t="shared" si="146"/>
        <v>0</v>
      </c>
      <c r="U288" s="220">
        <f t="shared" si="146"/>
        <v>0</v>
      </c>
      <c r="V288" s="220">
        <f t="shared" si="146"/>
        <v>193636252</v>
      </c>
      <c r="W288" s="220">
        <f t="shared" si="146"/>
        <v>160003</v>
      </c>
      <c r="X288" s="220">
        <f t="shared" si="146"/>
        <v>0</v>
      </c>
      <c r="Y288" s="220">
        <f>Y234+Y209+Y187+Y163+Y253+Y204+Y178+Y153+Y151+Y202+Y136+Y127+Y125+Y110+Y100+Y98+Y96+Y94+Y72+Y40</f>
        <v>22400</v>
      </c>
      <c r="Z288" s="220">
        <f t="shared" ref="Z288" si="147">Z234+Z209+Z187+Z163+Z253+Z204+Z178+Z153+Z151+Z202+Z136+Z127+Z125+Z110+Z100+Z98+Z96+Z94+Z72+Z40</f>
        <v>-165878</v>
      </c>
      <c r="AA288" s="220">
        <f>AA234+AA209+AA187+AA163+AA253+AA204+AA178+AA153+AA151+AA202+AA136+AA127+AA125+AA110+AA100+AA98+AA96+AA94+AA72+AA40</f>
        <v>-984</v>
      </c>
      <c r="AB288" s="220">
        <f t="shared" si="146"/>
        <v>0</v>
      </c>
      <c r="AC288" s="220">
        <f t="shared" si="146"/>
        <v>0</v>
      </c>
      <c r="AD288" s="220">
        <f t="shared" si="146"/>
        <v>193651793</v>
      </c>
      <c r="AE288" s="220">
        <f t="shared" si="146"/>
        <v>184209099</v>
      </c>
    </row>
    <row r="289" spans="1:31" x14ac:dyDescent="0.3">
      <c r="A289" s="420"/>
      <c r="B289" s="421"/>
      <c r="C289" s="222" t="s">
        <v>31</v>
      </c>
      <c r="D289" s="220">
        <f t="shared" ref="D289:AE289" si="148">D235+D210+D205+D203+D254+D188+D179+D164+D154+D152+D137+D128+D126+D111+D101+D99+D97+D95+D73+D41</f>
        <v>29646264</v>
      </c>
      <c r="E289" s="220">
        <f t="shared" si="148"/>
        <v>0</v>
      </c>
      <c r="F289" s="220">
        <f t="shared" si="148"/>
        <v>0</v>
      </c>
      <c r="G289" s="220">
        <f t="shared" si="148"/>
        <v>0</v>
      </c>
      <c r="H289" s="220">
        <f t="shared" si="148"/>
        <v>0</v>
      </c>
      <c r="I289" s="220">
        <f t="shared" si="148"/>
        <v>0</v>
      </c>
      <c r="J289" s="220">
        <f t="shared" si="148"/>
        <v>29646264</v>
      </c>
      <c r="K289" s="220">
        <f t="shared" si="148"/>
        <v>0</v>
      </c>
      <c r="L289" s="220">
        <f t="shared" si="148"/>
        <v>8471</v>
      </c>
      <c r="M289" s="220">
        <f t="shared" si="148"/>
        <v>0</v>
      </c>
      <c r="N289" s="220">
        <f t="shared" si="148"/>
        <v>0</v>
      </c>
      <c r="O289" s="220">
        <f t="shared" si="148"/>
        <v>0</v>
      </c>
      <c r="P289" s="220">
        <f t="shared" si="148"/>
        <v>29654735</v>
      </c>
      <c r="Q289" s="220">
        <f t="shared" si="148"/>
        <v>-100000</v>
      </c>
      <c r="R289" s="220">
        <f t="shared" si="148"/>
        <v>-619791</v>
      </c>
      <c r="S289" s="220">
        <f t="shared" si="148"/>
        <v>5824</v>
      </c>
      <c r="T289" s="220">
        <f t="shared" si="148"/>
        <v>0</v>
      </c>
      <c r="U289" s="220">
        <f t="shared" si="148"/>
        <v>0</v>
      </c>
      <c r="V289" s="220">
        <f t="shared" si="148"/>
        <v>28940768</v>
      </c>
      <c r="W289" s="220">
        <f t="shared" si="148"/>
        <v>-85619</v>
      </c>
      <c r="X289" s="220">
        <f t="shared" si="148"/>
        <v>0</v>
      </c>
      <c r="Y289" s="220">
        <f t="shared" si="148"/>
        <v>2912</v>
      </c>
      <c r="Z289" s="220">
        <f t="shared" si="148"/>
        <v>-21553</v>
      </c>
      <c r="AA289" s="220">
        <f t="shared" si="148"/>
        <v>0</v>
      </c>
      <c r="AB289" s="220">
        <f t="shared" si="148"/>
        <v>0</v>
      </c>
      <c r="AC289" s="220">
        <f t="shared" si="148"/>
        <v>0</v>
      </c>
      <c r="AD289" s="220">
        <f t="shared" si="148"/>
        <v>28836508</v>
      </c>
      <c r="AE289" s="220">
        <f t="shared" si="148"/>
        <v>25995208</v>
      </c>
    </row>
    <row r="290" spans="1:31" x14ac:dyDescent="0.3">
      <c r="A290" s="420"/>
      <c r="B290" s="421"/>
      <c r="C290" s="217" t="s">
        <v>32</v>
      </c>
      <c r="D290" s="218">
        <f t="shared" ref="D290:AE290" si="149">D189+D165+D138+D112+D74+D42+D236</f>
        <v>664000</v>
      </c>
      <c r="E290" s="218">
        <f t="shared" si="149"/>
        <v>0</v>
      </c>
      <c r="F290" s="218">
        <f t="shared" si="149"/>
        <v>0</v>
      </c>
      <c r="G290" s="218">
        <f t="shared" si="149"/>
        <v>0</v>
      </c>
      <c r="H290" s="218">
        <f t="shared" si="149"/>
        <v>0</v>
      </c>
      <c r="I290" s="218">
        <f t="shared" si="149"/>
        <v>0</v>
      </c>
      <c r="J290" s="218">
        <f t="shared" si="149"/>
        <v>664000</v>
      </c>
      <c r="K290" s="218">
        <f t="shared" si="149"/>
        <v>0</v>
      </c>
      <c r="L290" s="218">
        <f t="shared" si="149"/>
        <v>0</v>
      </c>
      <c r="M290" s="218">
        <f t="shared" si="149"/>
        <v>0</v>
      </c>
      <c r="N290" s="218">
        <f t="shared" si="149"/>
        <v>0</v>
      </c>
      <c r="O290" s="218">
        <f t="shared" si="149"/>
        <v>0</v>
      </c>
      <c r="P290" s="218">
        <f t="shared" si="149"/>
        <v>664000</v>
      </c>
      <c r="Q290" s="218">
        <f t="shared" si="149"/>
        <v>-100000</v>
      </c>
      <c r="R290" s="218">
        <f t="shared" si="149"/>
        <v>0</v>
      </c>
      <c r="S290" s="218">
        <f t="shared" si="149"/>
        <v>0</v>
      </c>
      <c r="T290" s="218">
        <f t="shared" si="149"/>
        <v>0</v>
      </c>
      <c r="U290" s="218">
        <f t="shared" si="149"/>
        <v>0</v>
      </c>
      <c r="V290" s="218">
        <f t="shared" si="149"/>
        <v>564000</v>
      </c>
      <c r="W290" s="218">
        <f t="shared" si="149"/>
        <v>-100000</v>
      </c>
      <c r="X290" s="218">
        <f t="shared" si="149"/>
        <v>0</v>
      </c>
      <c r="Y290" s="218">
        <f t="shared" si="149"/>
        <v>0</v>
      </c>
      <c r="Z290" s="218">
        <f t="shared" si="149"/>
        <v>0</v>
      </c>
      <c r="AA290" s="218">
        <f t="shared" si="149"/>
        <v>-100000</v>
      </c>
      <c r="AB290" s="218">
        <f t="shared" si="149"/>
        <v>0</v>
      </c>
      <c r="AC290" s="218">
        <f t="shared" si="149"/>
        <v>0</v>
      </c>
      <c r="AD290" s="218">
        <f t="shared" si="149"/>
        <v>364000</v>
      </c>
      <c r="AE290" s="218">
        <f t="shared" si="149"/>
        <v>9658</v>
      </c>
    </row>
    <row r="291" spans="1:31" x14ac:dyDescent="0.3">
      <c r="A291" s="420"/>
      <c r="B291" s="421"/>
      <c r="C291" s="216" t="s">
        <v>33</v>
      </c>
      <c r="D291" s="218">
        <f t="shared" ref="D291:AE291" si="150">D211+D190+D166+D139+D113+D75+D43+D237</f>
        <v>1790000</v>
      </c>
      <c r="E291" s="218">
        <f t="shared" si="150"/>
        <v>0</v>
      </c>
      <c r="F291" s="218">
        <f t="shared" si="150"/>
        <v>0</v>
      </c>
      <c r="G291" s="218">
        <f t="shared" si="150"/>
        <v>0</v>
      </c>
      <c r="H291" s="218">
        <f t="shared" si="150"/>
        <v>0</v>
      </c>
      <c r="I291" s="218">
        <f t="shared" si="150"/>
        <v>0</v>
      </c>
      <c r="J291" s="218">
        <f t="shared" si="150"/>
        <v>1790000</v>
      </c>
      <c r="K291" s="218">
        <f t="shared" si="150"/>
        <v>0</v>
      </c>
      <c r="L291" s="218">
        <f t="shared" si="150"/>
        <v>0</v>
      </c>
      <c r="M291" s="218">
        <f t="shared" si="150"/>
        <v>0</v>
      </c>
      <c r="N291" s="218">
        <f t="shared" si="150"/>
        <v>0</v>
      </c>
      <c r="O291" s="218">
        <f t="shared" si="150"/>
        <v>0</v>
      </c>
      <c r="P291" s="218">
        <f t="shared" si="150"/>
        <v>1790000</v>
      </c>
      <c r="Q291" s="218">
        <f t="shared" si="150"/>
        <v>625776</v>
      </c>
      <c r="R291" s="218">
        <f t="shared" si="150"/>
        <v>0</v>
      </c>
      <c r="S291" s="218">
        <f t="shared" si="150"/>
        <v>0</v>
      </c>
      <c r="T291" s="218">
        <f t="shared" si="150"/>
        <v>0</v>
      </c>
      <c r="U291" s="218">
        <f t="shared" si="150"/>
        <v>0</v>
      </c>
      <c r="V291" s="218">
        <f t="shared" si="150"/>
        <v>2415776</v>
      </c>
      <c r="W291" s="218">
        <f t="shared" si="150"/>
        <v>304089</v>
      </c>
      <c r="X291" s="218">
        <f t="shared" si="150"/>
        <v>0</v>
      </c>
      <c r="Y291" s="218">
        <f t="shared" si="150"/>
        <v>0</v>
      </c>
      <c r="Z291" s="218">
        <f t="shared" si="150"/>
        <v>0</v>
      </c>
      <c r="AA291" s="218">
        <f t="shared" si="150"/>
        <v>-57904</v>
      </c>
      <c r="AB291" s="218">
        <f t="shared" si="150"/>
        <v>0</v>
      </c>
      <c r="AC291" s="218">
        <f t="shared" si="150"/>
        <v>0</v>
      </c>
      <c r="AD291" s="218">
        <f t="shared" si="150"/>
        <v>2661961</v>
      </c>
      <c r="AE291" s="218">
        <f t="shared" si="150"/>
        <v>1705847</v>
      </c>
    </row>
    <row r="292" spans="1:31" x14ac:dyDescent="0.3">
      <c r="A292" s="420"/>
      <c r="B292" s="421"/>
      <c r="C292" s="217" t="s">
        <v>34</v>
      </c>
      <c r="D292" s="218">
        <f t="shared" ref="D292:AE292" si="151">D191+D167+D140+D114+D76+D44+D238</f>
        <v>1333470</v>
      </c>
      <c r="E292" s="218">
        <f t="shared" si="151"/>
        <v>0</v>
      </c>
      <c r="F292" s="218">
        <f t="shared" si="151"/>
        <v>0</v>
      </c>
      <c r="G292" s="218">
        <f t="shared" si="151"/>
        <v>0</v>
      </c>
      <c r="H292" s="218">
        <f t="shared" si="151"/>
        <v>0</v>
      </c>
      <c r="I292" s="218">
        <f t="shared" si="151"/>
        <v>0</v>
      </c>
      <c r="J292" s="218">
        <f t="shared" si="151"/>
        <v>1333470</v>
      </c>
      <c r="K292" s="218">
        <f t="shared" si="151"/>
        <v>0</v>
      </c>
      <c r="L292" s="218">
        <f t="shared" si="151"/>
        <v>0</v>
      </c>
      <c r="M292" s="218">
        <f t="shared" si="151"/>
        <v>0</v>
      </c>
      <c r="N292" s="218">
        <f t="shared" si="151"/>
        <v>0</v>
      </c>
      <c r="O292" s="218">
        <f t="shared" si="151"/>
        <v>0</v>
      </c>
      <c r="P292" s="218">
        <f t="shared" si="151"/>
        <v>1333470</v>
      </c>
      <c r="Q292" s="218">
        <f t="shared" si="151"/>
        <v>-97535</v>
      </c>
      <c r="R292" s="218">
        <f t="shared" si="151"/>
        <v>0</v>
      </c>
      <c r="S292" s="218">
        <f t="shared" si="151"/>
        <v>0</v>
      </c>
      <c r="T292" s="218">
        <f t="shared" si="151"/>
        <v>0</v>
      </c>
      <c r="U292" s="218">
        <f t="shared" si="151"/>
        <v>0</v>
      </c>
      <c r="V292" s="218">
        <f t="shared" si="151"/>
        <v>1235935</v>
      </c>
      <c r="W292" s="218">
        <f t="shared" si="151"/>
        <v>-151751</v>
      </c>
      <c r="X292" s="218">
        <f t="shared" si="151"/>
        <v>0</v>
      </c>
      <c r="Y292" s="218">
        <f t="shared" si="151"/>
        <v>0</v>
      </c>
      <c r="Z292" s="218">
        <f t="shared" si="151"/>
        <v>0</v>
      </c>
      <c r="AA292" s="218">
        <f t="shared" si="151"/>
        <v>-103677</v>
      </c>
      <c r="AB292" s="218">
        <f t="shared" si="151"/>
        <v>0</v>
      </c>
      <c r="AC292" s="218">
        <f t="shared" si="151"/>
        <v>0</v>
      </c>
      <c r="AD292" s="218">
        <f t="shared" si="151"/>
        <v>980507</v>
      </c>
      <c r="AE292" s="218">
        <f t="shared" si="151"/>
        <v>491602</v>
      </c>
    </row>
    <row r="293" spans="1:31" x14ac:dyDescent="0.3">
      <c r="A293" s="420"/>
      <c r="B293" s="421"/>
      <c r="C293" s="217" t="s">
        <v>35</v>
      </c>
      <c r="D293" s="218">
        <f>D239+D192+D115+D77+D45+D168+D141</f>
        <v>507762</v>
      </c>
      <c r="E293" s="218">
        <f>E239+E192+E115+E77+E45+E141+E168</f>
        <v>0</v>
      </c>
      <c r="F293" s="218">
        <f>F239+F192+F115+F77+F45</f>
        <v>0</v>
      </c>
      <c r="G293" s="218">
        <f>G239+G192+G115+G77+G45</f>
        <v>0</v>
      </c>
      <c r="H293" s="218">
        <f>H239+H192+H115+H77+H45</f>
        <v>0</v>
      </c>
      <c r="I293" s="218">
        <f>I239+I192+I115+I77+I45</f>
        <v>0</v>
      </c>
      <c r="J293" s="218">
        <f>J239+J192+J115+J77+J45+J168+J141</f>
        <v>507762</v>
      </c>
      <c r="K293" s="218">
        <f>K239+K192+K115+K77+K45</f>
        <v>0</v>
      </c>
      <c r="L293" s="218">
        <f>L239+L192+L115+L77+L45</f>
        <v>0</v>
      </c>
      <c r="M293" s="218">
        <f>M239+M192+M115+M77+M45</f>
        <v>0</v>
      </c>
      <c r="N293" s="218">
        <f>N239+N192+N115+N77+N45</f>
        <v>0</v>
      </c>
      <c r="O293" s="218">
        <f>O239+O192+O115+O77+O45</f>
        <v>0</v>
      </c>
      <c r="P293" s="218">
        <f>P239+P192+P115+P77+P45+P141+P168</f>
        <v>507762</v>
      </c>
      <c r="Q293" s="218">
        <f t="shared" ref="Q293:AC293" si="152">Q239+Q192+Q115+Q77+Q45</f>
        <v>0</v>
      </c>
      <c r="R293" s="218">
        <f t="shared" si="152"/>
        <v>0</v>
      </c>
      <c r="S293" s="218">
        <f t="shared" si="152"/>
        <v>0</v>
      </c>
      <c r="T293" s="218">
        <f t="shared" si="152"/>
        <v>0</v>
      </c>
      <c r="U293" s="218">
        <f t="shared" si="152"/>
        <v>0</v>
      </c>
      <c r="V293" s="218">
        <f>V239+V192+V115+V77+V45+V168+V141</f>
        <v>507762</v>
      </c>
      <c r="W293" s="218">
        <f t="shared" si="152"/>
        <v>3832</v>
      </c>
      <c r="X293" s="218">
        <f t="shared" si="152"/>
        <v>0</v>
      </c>
      <c r="Y293" s="218">
        <f t="shared" si="152"/>
        <v>0</v>
      </c>
      <c r="Z293" s="218">
        <f t="shared" si="152"/>
        <v>0</v>
      </c>
      <c r="AA293" s="218">
        <f t="shared" si="152"/>
        <v>-62997</v>
      </c>
      <c r="AB293" s="218">
        <f t="shared" si="152"/>
        <v>0</v>
      </c>
      <c r="AC293" s="218">
        <f t="shared" si="152"/>
        <v>0</v>
      </c>
      <c r="AD293" s="218">
        <f>AD239+AD192+AD115+AD77+AD45+AD141+AD168</f>
        <v>448597</v>
      </c>
      <c r="AE293" s="218">
        <f>AE239+AE192+AE115+AE77+AE45+AE168+AE141</f>
        <v>222719</v>
      </c>
    </row>
    <row r="294" spans="1:31" x14ac:dyDescent="0.3">
      <c r="A294" s="420"/>
      <c r="B294" s="421"/>
      <c r="C294" s="238" t="s">
        <v>195</v>
      </c>
      <c r="D294" s="218">
        <f>D116+D78+D46+D240+D193+D169+D142</f>
        <v>2549820</v>
      </c>
      <c r="E294" s="218">
        <f>E116+E78+E46</f>
        <v>0</v>
      </c>
      <c r="F294" s="218">
        <f>F116+F78+F46+F240</f>
        <v>0</v>
      </c>
      <c r="G294" s="218">
        <f>G116+G78+G46+G240</f>
        <v>0</v>
      </c>
      <c r="H294" s="218">
        <f>H116+H78+H46+H240</f>
        <v>0</v>
      </c>
      <c r="I294" s="218">
        <f>I116+I78+I46+I240</f>
        <v>0</v>
      </c>
      <c r="J294" s="218">
        <f>J116+J78+J46+J240+J142+J193+J169</f>
        <v>2549820</v>
      </c>
      <c r="K294" s="218">
        <f>K116+K78+K46+K240</f>
        <v>0</v>
      </c>
      <c r="L294" s="218">
        <f>L116+L78+L46+L240</f>
        <v>0</v>
      </c>
      <c r="M294" s="218">
        <f>M116+M78+M46+M240</f>
        <v>0</v>
      </c>
      <c r="N294" s="218">
        <f>N116+N78+N46+N240</f>
        <v>0</v>
      </c>
      <c r="O294" s="218">
        <f>O116+O78+O46+O240</f>
        <v>0</v>
      </c>
      <c r="P294" s="218">
        <f>P116+P78+P46+P240+P142+P169+P193</f>
        <v>2549820</v>
      </c>
      <c r="Q294" s="218">
        <f t="shared" ref="Q294:AC294" si="153">Q116+Q78+Q46+Q240</f>
        <v>671</v>
      </c>
      <c r="R294" s="218">
        <f t="shared" si="153"/>
        <v>0</v>
      </c>
      <c r="S294" s="218">
        <f t="shared" si="153"/>
        <v>0</v>
      </c>
      <c r="T294" s="218">
        <f t="shared" si="153"/>
        <v>0</v>
      </c>
      <c r="U294" s="218">
        <f t="shared" si="153"/>
        <v>0</v>
      </c>
      <c r="V294" s="218">
        <f>V116+V78+V46+V240+V193+V169+V142</f>
        <v>2550491</v>
      </c>
      <c r="W294" s="218">
        <f t="shared" si="153"/>
        <v>105878</v>
      </c>
      <c r="X294" s="218">
        <f t="shared" si="153"/>
        <v>0</v>
      </c>
      <c r="Y294" s="218">
        <f t="shared" si="153"/>
        <v>0</v>
      </c>
      <c r="Z294" s="218">
        <f t="shared" si="153"/>
        <v>0</v>
      </c>
      <c r="AA294" s="218">
        <f t="shared" si="153"/>
        <v>0</v>
      </c>
      <c r="AB294" s="218">
        <f t="shared" si="153"/>
        <v>0</v>
      </c>
      <c r="AC294" s="218">
        <f t="shared" si="153"/>
        <v>0</v>
      </c>
      <c r="AD294" s="218">
        <f>AD116+AD78+AD46+AD240+AD142+AD169+AD193</f>
        <v>2632703</v>
      </c>
      <c r="AE294" s="218">
        <f>AE116+AE78+AE46+AE240+AE142+AE169+AE193</f>
        <v>2561823</v>
      </c>
    </row>
    <row r="295" spans="1:31" x14ac:dyDescent="0.3">
      <c r="A295" s="420"/>
      <c r="B295" s="421"/>
      <c r="C295" s="238" t="s">
        <v>196</v>
      </c>
      <c r="D295" s="218">
        <f>D241+D194+D170+D143+D117+D79+D47</f>
        <v>50000</v>
      </c>
      <c r="E295" s="218">
        <f>E241+E194+E170+E143+E117+E79+E47</f>
        <v>0</v>
      </c>
      <c r="F295" s="218">
        <f t="shared" ref="F295:AE295" si="154">F241+F194+F170+F143+F117+F79+F47</f>
        <v>0</v>
      </c>
      <c r="G295" s="218">
        <f t="shared" si="154"/>
        <v>0</v>
      </c>
      <c r="H295" s="218">
        <f t="shared" si="154"/>
        <v>0</v>
      </c>
      <c r="I295" s="218">
        <f t="shared" si="154"/>
        <v>0</v>
      </c>
      <c r="J295" s="218">
        <f>J241+J194+J170+J143+J117+J79+J47</f>
        <v>50000</v>
      </c>
      <c r="K295" s="218">
        <f t="shared" si="154"/>
        <v>48000</v>
      </c>
      <c r="L295" s="218">
        <f t="shared" si="154"/>
        <v>0</v>
      </c>
      <c r="M295" s="218">
        <f t="shared" si="154"/>
        <v>0</v>
      </c>
      <c r="N295" s="218">
        <f t="shared" si="154"/>
        <v>0</v>
      </c>
      <c r="O295" s="218">
        <f t="shared" si="154"/>
        <v>0</v>
      </c>
      <c r="P295" s="218">
        <f t="shared" si="154"/>
        <v>98000</v>
      </c>
      <c r="Q295" s="218">
        <f t="shared" si="154"/>
        <v>0</v>
      </c>
      <c r="R295" s="218">
        <f t="shared" si="154"/>
        <v>0</v>
      </c>
      <c r="S295" s="218">
        <f t="shared" si="154"/>
        <v>0</v>
      </c>
      <c r="T295" s="218">
        <f t="shared" si="154"/>
        <v>0</v>
      </c>
      <c r="U295" s="218">
        <f t="shared" si="154"/>
        <v>0</v>
      </c>
      <c r="V295" s="218">
        <f t="shared" si="154"/>
        <v>98000</v>
      </c>
      <c r="W295" s="218">
        <f t="shared" si="154"/>
        <v>0</v>
      </c>
      <c r="X295" s="218">
        <f t="shared" si="154"/>
        <v>0</v>
      </c>
      <c r="Y295" s="218">
        <f t="shared" si="154"/>
        <v>0</v>
      </c>
      <c r="Z295" s="218">
        <f t="shared" si="154"/>
        <v>0</v>
      </c>
      <c r="AA295" s="218">
        <f t="shared" si="154"/>
        <v>-896</v>
      </c>
      <c r="AB295" s="218">
        <f t="shared" si="154"/>
        <v>0</v>
      </c>
      <c r="AC295" s="218">
        <f t="shared" si="154"/>
        <v>0</v>
      </c>
      <c r="AD295" s="218">
        <f t="shared" si="154"/>
        <v>97104</v>
      </c>
      <c r="AE295" s="218">
        <f t="shared" si="154"/>
        <v>85605</v>
      </c>
    </row>
    <row r="296" spans="1:31" x14ac:dyDescent="0.3">
      <c r="A296" s="420"/>
      <c r="B296" s="421"/>
      <c r="C296" s="223" t="s">
        <v>37</v>
      </c>
      <c r="D296" s="218">
        <f t="shared" ref="D296:AE296" si="155">D212+D80+D48</f>
        <v>50000</v>
      </c>
      <c r="E296" s="218">
        <f t="shared" si="155"/>
        <v>0</v>
      </c>
      <c r="F296" s="218">
        <f t="shared" si="155"/>
        <v>0</v>
      </c>
      <c r="G296" s="218">
        <f t="shared" si="155"/>
        <v>0</v>
      </c>
      <c r="H296" s="218">
        <f t="shared" si="155"/>
        <v>0</v>
      </c>
      <c r="I296" s="218">
        <f t="shared" si="155"/>
        <v>0</v>
      </c>
      <c r="J296" s="218">
        <f t="shared" si="155"/>
        <v>50000</v>
      </c>
      <c r="K296" s="218">
        <f t="shared" si="155"/>
        <v>0</v>
      </c>
      <c r="L296" s="218">
        <f t="shared" si="155"/>
        <v>0</v>
      </c>
      <c r="M296" s="218">
        <f t="shared" si="155"/>
        <v>0</v>
      </c>
      <c r="N296" s="218">
        <f t="shared" si="155"/>
        <v>0</v>
      </c>
      <c r="O296" s="218">
        <f t="shared" si="155"/>
        <v>0</v>
      </c>
      <c r="P296" s="218">
        <f t="shared" si="155"/>
        <v>50000</v>
      </c>
      <c r="Q296" s="218">
        <f t="shared" si="155"/>
        <v>0</v>
      </c>
      <c r="R296" s="218">
        <f t="shared" si="155"/>
        <v>0</v>
      </c>
      <c r="S296" s="218">
        <f t="shared" si="155"/>
        <v>0</v>
      </c>
      <c r="T296" s="218">
        <f t="shared" si="155"/>
        <v>0</v>
      </c>
      <c r="U296" s="218">
        <f t="shared" si="155"/>
        <v>0</v>
      </c>
      <c r="V296" s="218">
        <f t="shared" si="155"/>
        <v>50000</v>
      </c>
      <c r="W296" s="218">
        <f t="shared" si="155"/>
        <v>0</v>
      </c>
      <c r="X296" s="218">
        <f t="shared" si="155"/>
        <v>0</v>
      </c>
      <c r="Y296" s="218">
        <f t="shared" si="155"/>
        <v>0</v>
      </c>
      <c r="Z296" s="218">
        <f t="shared" si="155"/>
        <v>0</v>
      </c>
      <c r="AA296" s="218">
        <f t="shared" si="155"/>
        <v>0</v>
      </c>
      <c r="AB296" s="218">
        <f t="shared" si="155"/>
        <v>0</v>
      </c>
      <c r="AC296" s="218">
        <f t="shared" si="155"/>
        <v>0</v>
      </c>
      <c r="AD296" s="218">
        <f t="shared" si="155"/>
        <v>50000</v>
      </c>
      <c r="AE296" s="218">
        <f t="shared" si="155"/>
        <v>0</v>
      </c>
    </row>
    <row r="297" spans="1:31" x14ac:dyDescent="0.3">
      <c r="A297" s="420"/>
      <c r="B297" s="421"/>
      <c r="C297" s="217" t="s">
        <v>38</v>
      </c>
      <c r="D297" s="218">
        <f>D195+D171+D118+D81+D49+D242+D144</f>
        <v>670000</v>
      </c>
      <c r="E297" s="218">
        <f>E242+E195+E144+E118+E81+E49</f>
        <v>0</v>
      </c>
      <c r="F297" s="218">
        <f>F195+F171+F142+F118+F81+F49+F242</f>
        <v>0</v>
      </c>
      <c r="G297" s="218">
        <f>G195+G171+G142+G118+G81+G49+G242</f>
        <v>0</v>
      </c>
      <c r="H297" s="218">
        <f>H195+H171+H142+H118+H81+H49+H242</f>
        <v>0</v>
      </c>
      <c r="I297" s="218">
        <f>I195+I171+I142+I118+I81+I49+I242</f>
        <v>0</v>
      </c>
      <c r="J297" s="218">
        <f>J195+J171+J144+J118+J81+J49+J242</f>
        <v>670000</v>
      </c>
      <c r="K297" s="218">
        <f>K195+K171+K142+K118+K81+K49+K242</f>
        <v>0</v>
      </c>
      <c r="L297" s="218">
        <f>L195+L171+L142+L118+L81+L49+L242</f>
        <v>0</v>
      </c>
      <c r="M297" s="218">
        <f>M195+M171+M142+M118+M81+M49+M242</f>
        <v>0</v>
      </c>
      <c r="N297" s="218">
        <f>N195+N171+N142+N118+N81+N49+N242</f>
        <v>0</v>
      </c>
      <c r="O297" s="218">
        <f>O195+O171+O142+O118+O81+O49+O242</f>
        <v>0</v>
      </c>
      <c r="P297" s="218">
        <f>P195+P171+P144+P118+P81+P49+P242</f>
        <v>670000</v>
      </c>
      <c r="Q297" s="218">
        <f t="shared" ref="Q297:U297" si="156">Q195+Q171+Q142+Q118+Q81+Q49+Q242</f>
        <v>-150671</v>
      </c>
      <c r="R297" s="218">
        <f t="shared" si="156"/>
        <v>0</v>
      </c>
      <c r="S297" s="218">
        <f t="shared" si="156"/>
        <v>0</v>
      </c>
      <c r="T297" s="218">
        <f t="shared" si="156"/>
        <v>0</v>
      </c>
      <c r="U297" s="218">
        <f t="shared" si="156"/>
        <v>0</v>
      </c>
      <c r="V297" s="218">
        <f>V195+V171+V118+V81+V49+V242+V144</f>
        <v>519329</v>
      </c>
      <c r="W297" s="218">
        <f>W195+W171+W142+W118+W81+W49+W242+W144</f>
        <v>-34262</v>
      </c>
      <c r="X297" s="218">
        <f t="shared" ref="X297:AC297" si="157">X195+X171+X142+X118+X81+X49+X242+X144</f>
        <v>0</v>
      </c>
      <c r="Y297" s="218">
        <f t="shared" si="157"/>
        <v>0</v>
      </c>
      <c r="Z297" s="218">
        <f t="shared" si="157"/>
        <v>0</v>
      </c>
      <c r="AA297" s="218">
        <f t="shared" si="157"/>
        <v>-50000</v>
      </c>
      <c r="AB297" s="218">
        <f t="shared" si="157"/>
        <v>0</v>
      </c>
      <c r="AC297" s="218">
        <f t="shared" si="157"/>
        <v>0</v>
      </c>
      <c r="AD297" s="218">
        <f>AD195+AD171+AD118+AD81+AD49+AD242+AD144</f>
        <v>435067</v>
      </c>
      <c r="AE297" s="218">
        <f>AE195+AE171+AE144+AE118+AE81+AE49+AE242</f>
        <v>66500</v>
      </c>
    </row>
    <row r="298" spans="1:31" x14ac:dyDescent="0.3">
      <c r="A298" s="420"/>
      <c r="B298" s="421"/>
      <c r="C298" s="217" t="s">
        <v>39</v>
      </c>
      <c r="D298" s="218">
        <f t="shared" ref="D298:AE298" si="158">D50+D243+D82</f>
        <v>10000</v>
      </c>
      <c r="E298" s="218">
        <f t="shared" si="158"/>
        <v>0</v>
      </c>
      <c r="F298" s="218">
        <f t="shared" si="158"/>
        <v>0</v>
      </c>
      <c r="G298" s="218">
        <f t="shared" si="158"/>
        <v>0</v>
      </c>
      <c r="H298" s="218">
        <f t="shared" si="158"/>
        <v>0</v>
      </c>
      <c r="I298" s="218">
        <f t="shared" si="158"/>
        <v>0</v>
      </c>
      <c r="J298" s="218">
        <f t="shared" si="158"/>
        <v>10000</v>
      </c>
      <c r="K298" s="218">
        <f t="shared" si="158"/>
        <v>0</v>
      </c>
      <c r="L298" s="218">
        <f t="shared" si="158"/>
        <v>0</v>
      </c>
      <c r="M298" s="218">
        <f t="shared" si="158"/>
        <v>0</v>
      </c>
      <c r="N298" s="218">
        <f t="shared" si="158"/>
        <v>0</v>
      </c>
      <c r="O298" s="218">
        <f t="shared" si="158"/>
        <v>0</v>
      </c>
      <c r="P298" s="218">
        <f t="shared" si="158"/>
        <v>10000</v>
      </c>
      <c r="Q298" s="218">
        <f t="shared" si="158"/>
        <v>0</v>
      </c>
      <c r="R298" s="218">
        <f t="shared" si="158"/>
        <v>0</v>
      </c>
      <c r="S298" s="218">
        <f t="shared" si="158"/>
        <v>0</v>
      </c>
      <c r="T298" s="218">
        <f t="shared" si="158"/>
        <v>0</v>
      </c>
      <c r="U298" s="218">
        <f t="shared" si="158"/>
        <v>0</v>
      </c>
      <c r="V298" s="218">
        <f t="shared" si="158"/>
        <v>10000</v>
      </c>
      <c r="W298" s="218">
        <f t="shared" si="158"/>
        <v>-3764</v>
      </c>
      <c r="X298" s="218">
        <f t="shared" si="158"/>
        <v>0</v>
      </c>
      <c r="Y298" s="218">
        <f t="shared" si="158"/>
        <v>0</v>
      </c>
      <c r="Z298" s="218">
        <f t="shared" si="158"/>
        <v>0</v>
      </c>
      <c r="AA298" s="218">
        <f t="shared" si="158"/>
        <v>0</v>
      </c>
      <c r="AB298" s="218">
        <f t="shared" si="158"/>
        <v>0</v>
      </c>
      <c r="AC298" s="218">
        <f t="shared" si="158"/>
        <v>0</v>
      </c>
      <c r="AD298" s="218">
        <f t="shared" si="158"/>
        <v>6236</v>
      </c>
      <c r="AE298" s="218">
        <f t="shared" si="158"/>
        <v>6236</v>
      </c>
    </row>
    <row r="299" spans="1:31" x14ac:dyDescent="0.3">
      <c r="A299" s="420"/>
      <c r="B299" s="421"/>
      <c r="C299" s="224" t="s">
        <v>40</v>
      </c>
      <c r="D299" s="218">
        <f t="shared" ref="D299:AE299" si="159">D213+D196+D172+D145+D119+D83+D51+D244</f>
        <v>4725690</v>
      </c>
      <c r="E299" s="218">
        <f t="shared" si="159"/>
        <v>-443000</v>
      </c>
      <c r="F299" s="218">
        <f t="shared" si="159"/>
        <v>0</v>
      </c>
      <c r="G299" s="218">
        <f t="shared" si="159"/>
        <v>0</v>
      </c>
      <c r="H299" s="218">
        <f t="shared" si="159"/>
        <v>0</v>
      </c>
      <c r="I299" s="218">
        <f t="shared" si="159"/>
        <v>0</v>
      </c>
      <c r="J299" s="218">
        <f t="shared" si="159"/>
        <v>4282690</v>
      </c>
      <c r="K299" s="218">
        <f t="shared" si="159"/>
        <v>0</v>
      </c>
      <c r="L299" s="218">
        <f t="shared" si="159"/>
        <v>0</v>
      </c>
      <c r="M299" s="218">
        <f t="shared" si="159"/>
        <v>0</v>
      </c>
      <c r="N299" s="218">
        <f t="shared" si="159"/>
        <v>0</v>
      </c>
      <c r="O299" s="218">
        <f t="shared" si="159"/>
        <v>0</v>
      </c>
      <c r="P299" s="218">
        <f t="shared" si="159"/>
        <v>4282690</v>
      </c>
      <c r="Q299" s="218">
        <f t="shared" si="159"/>
        <v>-120000</v>
      </c>
      <c r="R299" s="218">
        <f t="shared" si="159"/>
        <v>0</v>
      </c>
      <c r="S299" s="218">
        <f t="shared" si="159"/>
        <v>0</v>
      </c>
      <c r="T299" s="218">
        <f t="shared" si="159"/>
        <v>0</v>
      </c>
      <c r="U299" s="218">
        <f t="shared" si="159"/>
        <v>0</v>
      </c>
      <c r="V299" s="218">
        <f t="shared" si="159"/>
        <v>4162690</v>
      </c>
      <c r="W299" s="218">
        <f t="shared" si="159"/>
        <v>0</v>
      </c>
      <c r="X299" s="218">
        <f t="shared" si="159"/>
        <v>0</v>
      </c>
      <c r="Y299" s="218">
        <f t="shared" si="159"/>
        <v>0</v>
      </c>
      <c r="Z299" s="218">
        <f t="shared" si="159"/>
        <v>0</v>
      </c>
      <c r="AA299" s="218">
        <f t="shared" si="159"/>
        <v>-110000</v>
      </c>
      <c r="AB299" s="218">
        <f t="shared" si="159"/>
        <v>0</v>
      </c>
      <c r="AC299" s="218">
        <f t="shared" si="159"/>
        <v>0</v>
      </c>
      <c r="AD299" s="218">
        <f t="shared" si="159"/>
        <v>4052690</v>
      </c>
      <c r="AE299" s="218">
        <f t="shared" si="159"/>
        <v>2924308</v>
      </c>
    </row>
    <row r="300" spans="1:31" x14ac:dyDescent="0.3">
      <c r="A300" s="420"/>
      <c r="B300" s="421"/>
      <c r="C300" s="217" t="s">
        <v>41</v>
      </c>
      <c r="D300" s="218">
        <f t="shared" ref="D300:AE300" si="160">D214+D197+D173+D146+D120+D84+D52+D245</f>
        <v>4360728</v>
      </c>
      <c r="E300" s="218">
        <f t="shared" si="160"/>
        <v>443000</v>
      </c>
      <c r="F300" s="218">
        <f t="shared" si="160"/>
        <v>0</v>
      </c>
      <c r="G300" s="218">
        <f t="shared" si="160"/>
        <v>0</v>
      </c>
      <c r="H300" s="218">
        <f t="shared" si="160"/>
        <v>0</v>
      </c>
      <c r="I300" s="218">
        <f t="shared" si="160"/>
        <v>0</v>
      </c>
      <c r="J300" s="218">
        <f t="shared" si="160"/>
        <v>4803728</v>
      </c>
      <c r="K300" s="218">
        <f t="shared" si="160"/>
        <v>-148945</v>
      </c>
      <c r="L300" s="218">
        <f t="shared" si="160"/>
        <v>0</v>
      </c>
      <c r="M300" s="218">
        <f t="shared" si="160"/>
        <v>0</v>
      </c>
      <c r="N300" s="218">
        <f t="shared" si="160"/>
        <v>0</v>
      </c>
      <c r="O300" s="218">
        <f t="shared" si="160"/>
        <v>0</v>
      </c>
      <c r="P300" s="218">
        <f t="shared" si="160"/>
        <v>4654783</v>
      </c>
      <c r="Q300" s="218">
        <f t="shared" si="160"/>
        <v>-107786</v>
      </c>
      <c r="R300" s="218">
        <f t="shared" si="160"/>
        <v>0</v>
      </c>
      <c r="S300" s="218">
        <f t="shared" si="160"/>
        <v>0</v>
      </c>
      <c r="T300" s="218">
        <f t="shared" si="160"/>
        <v>0</v>
      </c>
      <c r="U300" s="218">
        <f t="shared" si="160"/>
        <v>0</v>
      </c>
      <c r="V300" s="218">
        <f t="shared" si="160"/>
        <v>4546997</v>
      </c>
      <c r="W300" s="218">
        <f t="shared" si="160"/>
        <v>-145266</v>
      </c>
      <c r="X300" s="218">
        <f t="shared" si="160"/>
        <v>43464</v>
      </c>
      <c r="Y300" s="218">
        <f t="shared" si="160"/>
        <v>0</v>
      </c>
      <c r="Z300" s="218">
        <f t="shared" si="160"/>
        <v>0</v>
      </c>
      <c r="AA300" s="218">
        <f t="shared" si="160"/>
        <v>-246038</v>
      </c>
      <c r="AB300" s="218">
        <f t="shared" si="160"/>
        <v>0</v>
      </c>
      <c r="AC300" s="218">
        <f t="shared" si="160"/>
        <v>0</v>
      </c>
      <c r="AD300" s="218">
        <f t="shared" si="160"/>
        <v>4199157</v>
      </c>
      <c r="AE300" s="218">
        <f t="shared" si="160"/>
        <v>3861936</v>
      </c>
    </row>
    <row r="301" spans="1:31" x14ac:dyDescent="0.3">
      <c r="A301" s="420"/>
      <c r="B301" s="421"/>
      <c r="C301" s="216" t="s">
        <v>42</v>
      </c>
      <c r="D301" s="218">
        <f t="shared" ref="D301:AE301" si="161">D246+D215+D198+D174+D147+D121+D85+D53</f>
        <v>1660000</v>
      </c>
      <c r="E301" s="218">
        <f t="shared" si="161"/>
        <v>0</v>
      </c>
      <c r="F301" s="218">
        <f t="shared" si="161"/>
        <v>0</v>
      </c>
      <c r="G301" s="218">
        <f t="shared" si="161"/>
        <v>0</v>
      </c>
      <c r="H301" s="218">
        <f t="shared" si="161"/>
        <v>0</v>
      </c>
      <c r="I301" s="218">
        <f t="shared" si="161"/>
        <v>0</v>
      </c>
      <c r="J301" s="218">
        <f t="shared" si="161"/>
        <v>1660000</v>
      </c>
      <c r="K301" s="218">
        <f t="shared" si="161"/>
        <v>100000</v>
      </c>
      <c r="L301" s="218">
        <f t="shared" si="161"/>
        <v>0</v>
      </c>
      <c r="M301" s="218">
        <f t="shared" si="161"/>
        <v>0</v>
      </c>
      <c r="N301" s="218">
        <f t="shared" si="161"/>
        <v>0</v>
      </c>
      <c r="O301" s="218">
        <f t="shared" si="161"/>
        <v>0</v>
      </c>
      <c r="P301" s="218">
        <f t="shared" si="161"/>
        <v>1760000</v>
      </c>
      <c r="Q301" s="218">
        <f t="shared" si="161"/>
        <v>-100054</v>
      </c>
      <c r="R301" s="218">
        <f t="shared" si="161"/>
        <v>0</v>
      </c>
      <c r="S301" s="218">
        <f t="shared" si="161"/>
        <v>0</v>
      </c>
      <c r="T301" s="218">
        <f t="shared" si="161"/>
        <v>0</v>
      </c>
      <c r="U301" s="218">
        <f t="shared" si="161"/>
        <v>0</v>
      </c>
      <c r="V301" s="218">
        <f t="shared" si="161"/>
        <v>1659946</v>
      </c>
      <c r="W301" s="218">
        <f t="shared" si="161"/>
        <v>-71456</v>
      </c>
      <c r="X301" s="218">
        <f t="shared" si="161"/>
        <v>0</v>
      </c>
      <c r="Y301" s="218">
        <f t="shared" si="161"/>
        <v>0</v>
      </c>
      <c r="Z301" s="218">
        <f t="shared" si="161"/>
        <v>0</v>
      </c>
      <c r="AA301" s="218">
        <f t="shared" si="161"/>
        <v>-65363</v>
      </c>
      <c r="AB301" s="218">
        <f t="shared" si="161"/>
        <v>0</v>
      </c>
      <c r="AC301" s="218">
        <f t="shared" si="161"/>
        <v>0</v>
      </c>
      <c r="AD301" s="218">
        <f t="shared" si="161"/>
        <v>1523127</v>
      </c>
      <c r="AE301" s="218">
        <f t="shared" si="161"/>
        <v>1368853</v>
      </c>
    </row>
    <row r="302" spans="1:31" x14ac:dyDescent="0.3">
      <c r="A302" s="420"/>
      <c r="B302" s="421"/>
      <c r="C302" s="216" t="s">
        <v>43</v>
      </c>
      <c r="D302" s="218">
        <f t="shared" ref="D302:AE302" si="162">D54+D86+D216</f>
        <v>60000</v>
      </c>
      <c r="E302" s="218">
        <f t="shared" si="162"/>
        <v>0</v>
      </c>
      <c r="F302" s="218">
        <f t="shared" si="162"/>
        <v>0</v>
      </c>
      <c r="G302" s="218">
        <f t="shared" si="162"/>
        <v>0</v>
      </c>
      <c r="H302" s="218">
        <f t="shared" si="162"/>
        <v>0</v>
      </c>
      <c r="I302" s="218">
        <f t="shared" si="162"/>
        <v>0</v>
      </c>
      <c r="J302" s="218">
        <f t="shared" si="162"/>
        <v>60000</v>
      </c>
      <c r="K302" s="218">
        <f t="shared" si="162"/>
        <v>0</v>
      </c>
      <c r="L302" s="218">
        <f t="shared" si="162"/>
        <v>0</v>
      </c>
      <c r="M302" s="218">
        <f t="shared" si="162"/>
        <v>0</v>
      </c>
      <c r="N302" s="218">
        <f t="shared" si="162"/>
        <v>0</v>
      </c>
      <c r="O302" s="218">
        <f t="shared" si="162"/>
        <v>0</v>
      </c>
      <c r="P302" s="218">
        <f t="shared" si="162"/>
        <v>60000</v>
      </c>
      <c r="Q302" s="218">
        <f t="shared" si="162"/>
        <v>0</v>
      </c>
      <c r="R302" s="218">
        <f t="shared" si="162"/>
        <v>0</v>
      </c>
      <c r="S302" s="218">
        <f t="shared" si="162"/>
        <v>0</v>
      </c>
      <c r="T302" s="218">
        <f t="shared" si="162"/>
        <v>0</v>
      </c>
      <c r="U302" s="218">
        <f t="shared" si="162"/>
        <v>0</v>
      </c>
      <c r="V302" s="218">
        <f t="shared" si="162"/>
        <v>60000</v>
      </c>
      <c r="W302" s="218">
        <f t="shared" si="162"/>
        <v>0</v>
      </c>
      <c r="X302" s="218">
        <f t="shared" si="162"/>
        <v>0</v>
      </c>
      <c r="Y302" s="218">
        <f t="shared" si="162"/>
        <v>0</v>
      </c>
      <c r="Z302" s="218">
        <f t="shared" si="162"/>
        <v>0</v>
      </c>
      <c r="AA302" s="218">
        <f t="shared" si="162"/>
        <v>0</v>
      </c>
      <c r="AB302" s="218">
        <f t="shared" si="162"/>
        <v>0</v>
      </c>
      <c r="AC302" s="218">
        <f t="shared" si="162"/>
        <v>0</v>
      </c>
      <c r="AD302" s="218">
        <f t="shared" si="162"/>
        <v>60000</v>
      </c>
      <c r="AE302" s="218">
        <f t="shared" si="162"/>
        <v>0</v>
      </c>
    </row>
    <row r="303" spans="1:31" x14ac:dyDescent="0.3">
      <c r="A303" s="420"/>
      <c r="B303" s="421"/>
      <c r="C303" s="217" t="s">
        <v>44</v>
      </c>
      <c r="D303" s="218">
        <f t="shared" ref="D303:AE303" si="163">D247+D217+D199+D175+D148+D122+D87+D55</f>
        <v>2710397</v>
      </c>
      <c r="E303" s="218">
        <f t="shared" si="163"/>
        <v>0</v>
      </c>
      <c r="F303" s="218">
        <f t="shared" si="163"/>
        <v>0</v>
      </c>
      <c r="G303" s="218">
        <f t="shared" si="163"/>
        <v>0</v>
      </c>
      <c r="H303" s="218">
        <f t="shared" si="163"/>
        <v>0</v>
      </c>
      <c r="I303" s="218">
        <f t="shared" si="163"/>
        <v>0</v>
      </c>
      <c r="J303" s="218">
        <f t="shared" si="163"/>
        <v>2710397</v>
      </c>
      <c r="K303" s="218">
        <f t="shared" si="163"/>
        <v>0</v>
      </c>
      <c r="L303" s="218">
        <f t="shared" si="163"/>
        <v>0</v>
      </c>
      <c r="M303" s="218">
        <f t="shared" si="163"/>
        <v>0</v>
      </c>
      <c r="N303" s="218">
        <f t="shared" si="163"/>
        <v>0</v>
      </c>
      <c r="O303" s="218">
        <f t="shared" si="163"/>
        <v>0</v>
      </c>
      <c r="P303" s="218">
        <f t="shared" si="163"/>
        <v>2710397</v>
      </c>
      <c r="Q303" s="218">
        <f t="shared" si="163"/>
        <v>49599</v>
      </c>
      <c r="R303" s="218">
        <f t="shared" si="163"/>
        <v>0</v>
      </c>
      <c r="S303" s="218">
        <f t="shared" si="163"/>
        <v>0</v>
      </c>
      <c r="T303" s="218">
        <f t="shared" si="163"/>
        <v>0</v>
      </c>
      <c r="U303" s="218">
        <f t="shared" si="163"/>
        <v>0</v>
      </c>
      <c r="V303" s="218">
        <f t="shared" si="163"/>
        <v>2759996</v>
      </c>
      <c r="W303" s="218">
        <f t="shared" si="163"/>
        <v>16374</v>
      </c>
      <c r="X303" s="218">
        <f t="shared" si="163"/>
        <v>11735</v>
      </c>
      <c r="Y303" s="218">
        <f t="shared" si="163"/>
        <v>0</v>
      </c>
      <c r="Z303" s="218">
        <f t="shared" si="163"/>
        <v>0</v>
      </c>
      <c r="AA303" s="218">
        <f t="shared" si="163"/>
        <v>-177856</v>
      </c>
      <c r="AB303" s="218">
        <f t="shared" si="163"/>
        <v>0</v>
      </c>
      <c r="AC303" s="218">
        <f t="shared" si="163"/>
        <v>0</v>
      </c>
      <c r="AD303" s="218">
        <f t="shared" si="163"/>
        <v>2610249</v>
      </c>
      <c r="AE303" s="218">
        <f t="shared" si="163"/>
        <v>1577811</v>
      </c>
    </row>
    <row r="304" spans="1:31" x14ac:dyDescent="0.3">
      <c r="A304" s="420"/>
      <c r="B304" s="421"/>
      <c r="C304" s="225" t="s">
        <v>45</v>
      </c>
      <c r="D304" s="218">
        <f>D248+D218+D88+D56+D200+D123+D176+D149</f>
        <v>615933</v>
      </c>
      <c r="E304" s="218">
        <f>E248+E218+E88+E56+E123+E149+E200+E176</f>
        <v>0</v>
      </c>
      <c r="F304" s="218">
        <f>F248+F218+F88+F56</f>
        <v>0</v>
      </c>
      <c r="G304" s="218">
        <f>G248+G218+G88+G56</f>
        <v>0</v>
      </c>
      <c r="H304" s="218">
        <f>H248+H218+H88+H56</f>
        <v>0</v>
      </c>
      <c r="I304" s="218">
        <f>I248+I218+I88+I56</f>
        <v>0</v>
      </c>
      <c r="J304" s="218">
        <f>J248+J218+J200+J123+J88+J56+J176+J149</f>
        <v>615933</v>
      </c>
      <c r="K304" s="218">
        <f>K248+K218+K200+K88+K56</f>
        <v>0</v>
      </c>
      <c r="L304" s="218">
        <f>L248+L218+L200+L88+L56</f>
        <v>0</v>
      </c>
      <c r="M304" s="218">
        <f>M248+M218+M200+M88+M56</f>
        <v>0</v>
      </c>
      <c r="N304" s="218">
        <f>N248+N218+N200+N88+N56</f>
        <v>0</v>
      </c>
      <c r="O304" s="218">
        <f>O248+O218+O200+O88+O56</f>
        <v>0</v>
      </c>
      <c r="P304" s="218">
        <f>P248+P218+P200+P88+P56+P123+P149+P176</f>
        <v>615933</v>
      </c>
      <c r="Q304" s="218">
        <f t="shared" ref="Q304:AC304" si="164">Q248+Q218+Q200+Q88+Q56+Q123</f>
        <v>0</v>
      </c>
      <c r="R304" s="218">
        <f t="shared" si="164"/>
        <v>0</v>
      </c>
      <c r="S304" s="218">
        <f t="shared" si="164"/>
        <v>0</v>
      </c>
      <c r="T304" s="218">
        <f t="shared" si="164"/>
        <v>0</v>
      </c>
      <c r="U304" s="218">
        <f t="shared" si="164"/>
        <v>0</v>
      </c>
      <c r="V304" s="218">
        <f>V248+V218+V200+V88+V56+V123+V176+V149</f>
        <v>615933</v>
      </c>
      <c r="W304" s="218">
        <f t="shared" si="164"/>
        <v>1942</v>
      </c>
      <c r="X304" s="218">
        <f t="shared" si="164"/>
        <v>0</v>
      </c>
      <c r="Y304" s="218">
        <f t="shared" si="164"/>
        <v>0</v>
      </c>
      <c r="Z304" s="218">
        <f t="shared" si="164"/>
        <v>0</v>
      </c>
      <c r="AA304" s="218">
        <f t="shared" si="164"/>
        <v>-619</v>
      </c>
      <c r="AB304" s="218">
        <f t="shared" si="164"/>
        <v>0</v>
      </c>
      <c r="AC304" s="218">
        <f t="shared" si="164"/>
        <v>0</v>
      </c>
      <c r="AD304" s="218">
        <f>AD248+AD218+AD200+AD88+AD56+AD123+AD176+AD149</f>
        <v>617256</v>
      </c>
      <c r="AE304" s="218">
        <f>AE248+AE218+AE200+AE88+AE56+AE123+AE176+AE149</f>
        <v>561783</v>
      </c>
    </row>
    <row r="305" spans="1:32" x14ac:dyDescent="0.3">
      <c r="A305" s="420"/>
      <c r="B305" s="421"/>
      <c r="C305" s="219" t="s">
        <v>49</v>
      </c>
      <c r="D305" s="220">
        <f t="shared" ref="D305:AC305" si="165">D249+D219+D201+D177+D150+D124+D89+D57</f>
        <v>21757800</v>
      </c>
      <c r="E305" s="220">
        <f t="shared" si="165"/>
        <v>0</v>
      </c>
      <c r="F305" s="220">
        <f t="shared" si="165"/>
        <v>0</v>
      </c>
      <c r="G305" s="220">
        <f t="shared" si="165"/>
        <v>0</v>
      </c>
      <c r="H305" s="220">
        <f t="shared" si="165"/>
        <v>0</v>
      </c>
      <c r="I305" s="220">
        <f t="shared" si="165"/>
        <v>0</v>
      </c>
      <c r="J305" s="220">
        <f t="shared" si="165"/>
        <v>21757800</v>
      </c>
      <c r="K305" s="220">
        <f t="shared" si="165"/>
        <v>-945</v>
      </c>
      <c r="L305" s="220">
        <f t="shared" si="165"/>
        <v>0</v>
      </c>
      <c r="M305" s="220">
        <f t="shared" si="165"/>
        <v>0</v>
      </c>
      <c r="N305" s="220">
        <f t="shared" si="165"/>
        <v>0</v>
      </c>
      <c r="O305" s="220">
        <f t="shared" si="165"/>
        <v>0</v>
      </c>
      <c r="P305" s="220">
        <f t="shared" si="165"/>
        <v>21756855</v>
      </c>
      <c r="Q305" s="220">
        <f t="shared" si="165"/>
        <v>0</v>
      </c>
      <c r="R305" s="220">
        <f t="shared" si="165"/>
        <v>0</v>
      </c>
      <c r="S305" s="220">
        <f t="shared" si="165"/>
        <v>0</v>
      </c>
      <c r="T305" s="220">
        <f t="shared" si="165"/>
        <v>0</v>
      </c>
      <c r="U305" s="220">
        <f t="shared" si="165"/>
        <v>0</v>
      </c>
      <c r="V305" s="220">
        <f t="shared" si="165"/>
        <v>21756855</v>
      </c>
      <c r="W305" s="220">
        <f t="shared" si="165"/>
        <v>-74384</v>
      </c>
      <c r="X305" s="220">
        <f t="shared" si="165"/>
        <v>55199</v>
      </c>
      <c r="Y305" s="220">
        <f t="shared" si="165"/>
        <v>0</v>
      </c>
      <c r="Z305" s="220">
        <f t="shared" si="165"/>
        <v>0</v>
      </c>
      <c r="AA305" s="220">
        <f t="shared" si="165"/>
        <v>-999016</v>
      </c>
      <c r="AB305" s="220">
        <f t="shared" si="165"/>
        <v>0</v>
      </c>
      <c r="AC305" s="220">
        <f t="shared" si="165"/>
        <v>0</v>
      </c>
      <c r="AD305" s="220">
        <f>AD249+AD219+AD201+AD177+AD150+AD124+AD89+AD57</f>
        <v>20738654</v>
      </c>
      <c r="AE305" s="220">
        <f>AE249+AE219+AE201+AE177+AE150+AE124+AE89+AE57</f>
        <v>15444681</v>
      </c>
    </row>
    <row r="306" spans="1:32" x14ac:dyDescent="0.3">
      <c r="A306" s="420"/>
      <c r="B306" s="421"/>
      <c r="C306" s="219" t="s">
        <v>100</v>
      </c>
      <c r="D306" s="220">
        <f t="shared" ref="D306:J306" si="166">D224</f>
        <v>0</v>
      </c>
      <c r="E306" s="220">
        <f t="shared" si="166"/>
        <v>0</v>
      </c>
      <c r="F306" s="220">
        <f t="shared" si="166"/>
        <v>0</v>
      </c>
      <c r="G306" s="220">
        <f t="shared" si="166"/>
        <v>0</v>
      </c>
      <c r="H306" s="220">
        <f t="shared" si="166"/>
        <v>0</v>
      </c>
      <c r="I306" s="220">
        <f t="shared" si="166"/>
        <v>0</v>
      </c>
      <c r="J306" s="220">
        <f t="shared" si="166"/>
        <v>0</v>
      </c>
      <c r="K306" s="220">
        <f t="shared" ref="K306:AD306" si="167">K224</f>
        <v>0</v>
      </c>
      <c r="L306" s="220">
        <f t="shared" si="167"/>
        <v>0</v>
      </c>
      <c r="M306" s="220">
        <f t="shared" si="167"/>
        <v>0</v>
      </c>
      <c r="N306" s="220">
        <f t="shared" si="167"/>
        <v>0</v>
      </c>
      <c r="O306" s="220">
        <f t="shared" si="167"/>
        <v>0</v>
      </c>
      <c r="P306" s="220">
        <f t="shared" si="167"/>
        <v>0</v>
      </c>
      <c r="Q306" s="220">
        <f t="shared" si="167"/>
        <v>0</v>
      </c>
      <c r="R306" s="220">
        <f t="shared" si="167"/>
        <v>0</v>
      </c>
      <c r="S306" s="220">
        <f t="shared" si="167"/>
        <v>0</v>
      </c>
      <c r="T306" s="220">
        <f t="shared" si="167"/>
        <v>0</v>
      </c>
      <c r="U306" s="220">
        <f t="shared" si="167"/>
        <v>0</v>
      </c>
      <c r="V306" s="220">
        <f t="shared" si="167"/>
        <v>0</v>
      </c>
      <c r="W306" s="220">
        <f t="shared" si="167"/>
        <v>0</v>
      </c>
      <c r="X306" s="220">
        <f t="shared" si="167"/>
        <v>0</v>
      </c>
      <c r="Y306" s="220">
        <f t="shared" si="167"/>
        <v>0</v>
      </c>
      <c r="Z306" s="220">
        <f t="shared" si="167"/>
        <v>0</v>
      </c>
      <c r="AA306" s="220">
        <f t="shared" si="167"/>
        <v>0</v>
      </c>
      <c r="AB306" s="220">
        <f t="shared" si="167"/>
        <v>0</v>
      </c>
      <c r="AC306" s="220">
        <f t="shared" si="167"/>
        <v>0</v>
      </c>
      <c r="AD306" s="220">
        <f t="shared" si="167"/>
        <v>0</v>
      </c>
      <c r="AE306" s="220">
        <f>AE224</f>
        <v>0</v>
      </c>
    </row>
    <row r="307" spans="1:32" s="250" customFormat="1" x14ac:dyDescent="0.3">
      <c r="A307" s="420"/>
      <c r="B307" s="421"/>
      <c r="C307" s="223" t="s">
        <v>56</v>
      </c>
      <c r="D307" s="218"/>
      <c r="E307" s="218"/>
      <c r="F307" s="218"/>
      <c r="G307" s="218"/>
      <c r="H307" s="218"/>
      <c r="I307" s="218"/>
      <c r="J307" s="218"/>
      <c r="K307" s="218"/>
      <c r="L307" s="218"/>
      <c r="M307" s="218"/>
      <c r="N307" s="218"/>
      <c r="O307" s="218"/>
      <c r="P307" s="218">
        <f>SUM(P58,P90)</f>
        <v>0</v>
      </c>
      <c r="Q307" s="218">
        <f t="shared" ref="Q307:AE307" si="168">SUM(Q58,Q90)</f>
        <v>196850</v>
      </c>
      <c r="R307" s="218">
        <f t="shared" si="168"/>
        <v>0</v>
      </c>
      <c r="S307" s="218">
        <f t="shared" si="168"/>
        <v>0</v>
      </c>
      <c r="T307" s="218">
        <f t="shared" si="168"/>
        <v>0</v>
      </c>
      <c r="U307" s="218">
        <f t="shared" si="168"/>
        <v>0</v>
      </c>
      <c r="V307" s="218">
        <f t="shared" si="168"/>
        <v>196850</v>
      </c>
      <c r="W307" s="218">
        <f t="shared" si="168"/>
        <v>0</v>
      </c>
      <c r="X307" s="218">
        <f t="shared" si="168"/>
        <v>0</v>
      </c>
      <c r="Y307" s="218">
        <f t="shared" si="168"/>
        <v>0</v>
      </c>
      <c r="Z307" s="218">
        <f t="shared" si="168"/>
        <v>0</v>
      </c>
      <c r="AA307" s="218">
        <f t="shared" si="168"/>
        <v>0</v>
      </c>
      <c r="AB307" s="218">
        <f t="shared" si="168"/>
        <v>0</v>
      </c>
      <c r="AC307" s="218">
        <f t="shared" si="168"/>
        <v>0</v>
      </c>
      <c r="AD307" s="218">
        <f t="shared" si="168"/>
        <v>196850</v>
      </c>
      <c r="AE307" s="218">
        <f t="shared" si="168"/>
        <v>196850</v>
      </c>
    </row>
    <row r="308" spans="1:32" x14ac:dyDescent="0.3">
      <c r="A308" s="420"/>
      <c r="B308" s="421"/>
      <c r="C308" s="223" t="s">
        <v>50</v>
      </c>
      <c r="D308" s="218">
        <f t="shared" ref="D308:P308" si="169">D221+D91+D59</f>
        <v>196850</v>
      </c>
      <c r="E308" s="218">
        <f t="shared" si="169"/>
        <v>0</v>
      </c>
      <c r="F308" s="218">
        <f t="shared" si="169"/>
        <v>0</v>
      </c>
      <c r="G308" s="218">
        <f t="shared" si="169"/>
        <v>0</v>
      </c>
      <c r="H308" s="218">
        <f t="shared" si="169"/>
        <v>0</v>
      </c>
      <c r="I308" s="218">
        <f t="shared" si="169"/>
        <v>0</v>
      </c>
      <c r="J308" s="218">
        <f t="shared" si="169"/>
        <v>196850</v>
      </c>
      <c r="K308" s="218">
        <f t="shared" si="169"/>
        <v>744</v>
      </c>
      <c r="L308" s="218">
        <f t="shared" si="169"/>
        <v>0</v>
      </c>
      <c r="M308" s="218">
        <f t="shared" si="169"/>
        <v>0</v>
      </c>
      <c r="N308" s="218">
        <f t="shared" si="169"/>
        <v>0</v>
      </c>
      <c r="O308" s="218">
        <f t="shared" si="169"/>
        <v>0</v>
      </c>
      <c r="P308" s="218">
        <f t="shared" si="169"/>
        <v>197594</v>
      </c>
      <c r="Q308" s="218">
        <f t="shared" ref="Q308:AE308" si="170">Q221+Q91+Q59+Q250</f>
        <v>-196850</v>
      </c>
      <c r="R308" s="218">
        <f t="shared" si="170"/>
        <v>0</v>
      </c>
      <c r="S308" s="218">
        <f t="shared" si="170"/>
        <v>0</v>
      </c>
      <c r="T308" s="218">
        <f t="shared" si="170"/>
        <v>0</v>
      </c>
      <c r="U308" s="218">
        <f t="shared" si="170"/>
        <v>0</v>
      </c>
      <c r="V308" s="218">
        <f t="shared" si="170"/>
        <v>744</v>
      </c>
      <c r="W308" s="218">
        <f t="shared" si="170"/>
        <v>0</v>
      </c>
      <c r="X308" s="218">
        <f t="shared" si="170"/>
        <v>0</v>
      </c>
      <c r="Y308" s="218">
        <f t="shared" si="170"/>
        <v>0</v>
      </c>
      <c r="Z308" s="218">
        <f t="shared" si="170"/>
        <v>0</v>
      </c>
      <c r="AA308" s="218">
        <f t="shared" si="170"/>
        <v>0</v>
      </c>
      <c r="AB308" s="218">
        <f t="shared" si="170"/>
        <v>0</v>
      </c>
      <c r="AC308" s="218">
        <f t="shared" si="170"/>
        <v>0</v>
      </c>
      <c r="AD308" s="218">
        <f t="shared" si="170"/>
        <v>744</v>
      </c>
      <c r="AE308" s="218">
        <f t="shared" si="170"/>
        <v>0</v>
      </c>
    </row>
    <row r="309" spans="1:32" x14ac:dyDescent="0.3">
      <c r="A309" s="420"/>
      <c r="B309" s="421"/>
      <c r="C309" s="225" t="s">
        <v>51</v>
      </c>
      <c r="D309" s="218">
        <f>D222+D92+D60</f>
        <v>53150</v>
      </c>
      <c r="E309" s="218">
        <f>E222+E92+E60+E251</f>
        <v>0</v>
      </c>
      <c r="F309" s="218">
        <f t="shared" ref="F309:P309" si="171">F222+F92+F60</f>
        <v>0</v>
      </c>
      <c r="G309" s="218">
        <f t="shared" si="171"/>
        <v>0</v>
      </c>
      <c r="H309" s="218">
        <f t="shared" si="171"/>
        <v>0</v>
      </c>
      <c r="I309" s="218">
        <f t="shared" si="171"/>
        <v>0</v>
      </c>
      <c r="J309" s="218">
        <f t="shared" si="171"/>
        <v>53150</v>
      </c>
      <c r="K309" s="218">
        <f t="shared" si="171"/>
        <v>201</v>
      </c>
      <c r="L309" s="218">
        <f t="shared" si="171"/>
        <v>0</v>
      </c>
      <c r="M309" s="218">
        <f t="shared" si="171"/>
        <v>0</v>
      </c>
      <c r="N309" s="218">
        <f t="shared" si="171"/>
        <v>0</v>
      </c>
      <c r="O309" s="218">
        <f t="shared" si="171"/>
        <v>0</v>
      </c>
      <c r="P309" s="218">
        <f t="shared" si="171"/>
        <v>53351</v>
      </c>
      <c r="Q309" s="218">
        <f t="shared" ref="Q309:AE309" si="172">Q222+Q92+Q60+Q251</f>
        <v>0</v>
      </c>
      <c r="R309" s="218">
        <f t="shared" si="172"/>
        <v>0</v>
      </c>
      <c r="S309" s="218">
        <f t="shared" si="172"/>
        <v>0</v>
      </c>
      <c r="T309" s="218">
        <f t="shared" si="172"/>
        <v>0</v>
      </c>
      <c r="U309" s="218">
        <f t="shared" si="172"/>
        <v>0</v>
      </c>
      <c r="V309" s="218">
        <f t="shared" si="172"/>
        <v>53351</v>
      </c>
      <c r="W309" s="218">
        <f t="shared" si="172"/>
        <v>0</v>
      </c>
      <c r="X309" s="218">
        <f t="shared" si="172"/>
        <v>0</v>
      </c>
      <c r="Y309" s="218">
        <f t="shared" si="172"/>
        <v>0</v>
      </c>
      <c r="Z309" s="218">
        <f t="shared" si="172"/>
        <v>0</v>
      </c>
      <c r="AA309" s="218">
        <f t="shared" si="172"/>
        <v>0</v>
      </c>
      <c r="AB309" s="218">
        <f t="shared" si="172"/>
        <v>0</v>
      </c>
      <c r="AC309" s="218">
        <f t="shared" si="172"/>
        <v>0</v>
      </c>
      <c r="AD309" s="218">
        <f t="shared" si="172"/>
        <v>53351</v>
      </c>
      <c r="AE309" s="218">
        <f t="shared" si="172"/>
        <v>53150</v>
      </c>
    </row>
    <row r="310" spans="1:32" x14ac:dyDescent="0.3">
      <c r="A310" s="420"/>
      <c r="B310" s="421"/>
      <c r="C310" s="219" t="s">
        <v>52</v>
      </c>
      <c r="D310" s="226">
        <f>D223+D93+D61</f>
        <v>250000</v>
      </c>
      <c r="E310" s="226">
        <f>E223+E93+E61+E252</f>
        <v>0</v>
      </c>
      <c r="F310" s="226">
        <f t="shared" ref="F310:P310" si="173">F223+F93+F61</f>
        <v>0</v>
      </c>
      <c r="G310" s="226">
        <f t="shared" si="173"/>
        <v>0</v>
      </c>
      <c r="H310" s="226">
        <f t="shared" si="173"/>
        <v>0</v>
      </c>
      <c r="I310" s="226">
        <f t="shared" si="173"/>
        <v>0</v>
      </c>
      <c r="J310" s="226">
        <f t="shared" si="173"/>
        <v>250000</v>
      </c>
      <c r="K310" s="220">
        <f t="shared" si="173"/>
        <v>945</v>
      </c>
      <c r="L310" s="220">
        <f t="shared" si="173"/>
        <v>0</v>
      </c>
      <c r="M310" s="220">
        <f t="shared" si="173"/>
        <v>0</v>
      </c>
      <c r="N310" s="220">
        <f t="shared" si="173"/>
        <v>0</v>
      </c>
      <c r="O310" s="220">
        <f t="shared" si="173"/>
        <v>0</v>
      </c>
      <c r="P310" s="220">
        <f t="shared" si="173"/>
        <v>250945</v>
      </c>
      <c r="Q310" s="220">
        <f t="shared" ref="Q310:AE310" si="174">Q223+Q93+Q61+Q252</f>
        <v>0</v>
      </c>
      <c r="R310" s="220">
        <f t="shared" si="174"/>
        <v>0</v>
      </c>
      <c r="S310" s="220">
        <f t="shared" si="174"/>
        <v>0</v>
      </c>
      <c r="T310" s="220">
        <f t="shared" si="174"/>
        <v>0</v>
      </c>
      <c r="U310" s="220">
        <f t="shared" si="174"/>
        <v>0</v>
      </c>
      <c r="V310" s="220">
        <f t="shared" si="174"/>
        <v>250945</v>
      </c>
      <c r="W310" s="220">
        <f t="shared" si="174"/>
        <v>0</v>
      </c>
      <c r="X310" s="220">
        <f t="shared" si="174"/>
        <v>0</v>
      </c>
      <c r="Y310" s="220">
        <f t="shared" si="174"/>
        <v>0</v>
      </c>
      <c r="Z310" s="220">
        <f t="shared" si="174"/>
        <v>0</v>
      </c>
      <c r="AA310" s="220">
        <f t="shared" si="174"/>
        <v>0</v>
      </c>
      <c r="AB310" s="220">
        <f t="shared" si="174"/>
        <v>0</v>
      </c>
      <c r="AC310" s="220">
        <f t="shared" si="174"/>
        <v>0</v>
      </c>
      <c r="AD310" s="220">
        <f t="shared" si="174"/>
        <v>250945</v>
      </c>
      <c r="AE310" s="220">
        <f t="shared" si="174"/>
        <v>250000</v>
      </c>
    </row>
    <row r="311" spans="1:32" x14ac:dyDescent="0.3">
      <c r="A311" s="422"/>
      <c r="B311" s="423"/>
      <c r="C311" s="227" t="s">
        <v>88</v>
      </c>
      <c r="D311" s="228">
        <f t="shared" ref="D311:J311" si="175">D256</f>
        <v>249848164</v>
      </c>
      <c r="E311" s="228">
        <f t="shared" si="175"/>
        <v>0</v>
      </c>
      <c r="F311" s="228">
        <f t="shared" si="175"/>
        <v>0</v>
      </c>
      <c r="G311" s="228">
        <f t="shared" si="175"/>
        <v>0</v>
      </c>
      <c r="H311" s="228">
        <f t="shared" si="175"/>
        <v>0</v>
      </c>
      <c r="I311" s="228">
        <f t="shared" si="175"/>
        <v>0</v>
      </c>
      <c r="J311" s="228">
        <f t="shared" si="175"/>
        <v>249848164</v>
      </c>
      <c r="K311" s="228">
        <f t="shared" ref="K311:AD311" si="176">K256</f>
        <v>0</v>
      </c>
      <c r="L311" s="228">
        <f t="shared" si="176"/>
        <v>73635</v>
      </c>
      <c r="M311" s="228">
        <f t="shared" si="176"/>
        <v>0</v>
      </c>
      <c r="N311" s="228">
        <f t="shared" si="176"/>
        <v>0</v>
      </c>
      <c r="O311" s="228">
        <f t="shared" si="176"/>
        <v>0</v>
      </c>
      <c r="P311" s="228">
        <f t="shared" si="176"/>
        <v>249921799</v>
      </c>
      <c r="Q311" s="228">
        <f>Q256</f>
        <v>0</v>
      </c>
      <c r="R311" s="228">
        <f>R256</f>
        <v>-5387603</v>
      </c>
      <c r="S311" s="228">
        <f t="shared" si="176"/>
        <v>50624</v>
      </c>
      <c r="T311" s="228">
        <f t="shared" si="176"/>
        <v>0</v>
      </c>
      <c r="U311" s="228">
        <f t="shared" si="176"/>
        <v>0</v>
      </c>
      <c r="V311" s="228">
        <f t="shared" si="176"/>
        <v>244584820</v>
      </c>
      <c r="W311" s="228">
        <f t="shared" si="176"/>
        <v>0</v>
      </c>
      <c r="X311" s="228">
        <f t="shared" si="176"/>
        <v>55199</v>
      </c>
      <c r="Y311" s="228">
        <f t="shared" si="176"/>
        <v>25312</v>
      </c>
      <c r="Z311" s="228">
        <f t="shared" si="176"/>
        <v>-187431</v>
      </c>
      <c r="AA311" s="228">
        <f t="shared" si="176"/>
        <v>-1000000</v>
      </c>
      <c r="AB311" s="228">
        <f t="shared" si="176"/>
        <v>0</v>
      </c>
      <c r="AC311" s="228">
        <f t="shared" si="176"/>
        <v>0</v>
      </c>
      <c r="AD311" s="228">
        <f t="shared" si="176"/>
        <v>243477900</v>
      </c>
      <c r="AE311" s="228">
        <f>AE256</f>
        <v>225898988</v>
      </c>
    </row>
    <row r="312" spans="1:32" x14ac:dyDescent="0.3">
      <c r="AA312" s="230"/>
      <c r="AE312"/>
      <c r="AF312" s="118"/>
    </row>
    <row r="313" spans="1:32" x14ac:dyDescent="0.3">
      <c r="D313" t="s">
        <v>125</v>
      </c>
      <c r="J313" t="s">
        <v>125</v>
      </c>
      <c r="AA313" s="230"/>
      <c r="AE313"/>
      <c r="AF313" s="118"/>
    </row>
    <row r="314" spans="1:32" x14ac:dyDescent="0.3">
      <c r="P314" s="244" t="s">
        <v>215</v>
      </c>
      <c r="Q314" s="244"/>
      <c r="R314" s="244"/>
      <c r="S314" s="244"/>
      <c r="T314" s="244"/>
      <c r="V314" s="244" t="s">
        <v>215</v>
      </c>
      <c r="W314" s="244"/>
      <c r="X314" s="244"/>
      <c r="Y314" s="244"/>
      <c r="Z314" s="244"/>
    </row>
    <row r="315" spans="1:32" x14ac:dyDescent="0.3">
      <c r="D315" t="s">
        <v>197</v>
      </c>
      <c r="H315" s="230">
        <v>0</v>
      </c>
      <c r="J315" t="s">
        <v>197</v>
      </c>
      <c r="N315" s="230">
        <v>0</v>
      </c>
    </row>
    <row r="316" spans="1:32" x14ac:dyDescent="0.3">
      <c r="D316" t="s">
        <v>198</v>
      </c>
      <c r="H316" s="230">
        <v>0</v>
      </c>
      <c r="J316" t="s">
        <v>198</v>
      </c>
      <c r="N316" s="230">
        <v>0</v>
      </c>
      <c r="P316" t="s">
        <v>197</v>
      </c>
      <c r="T316" s="240">
        <v>0</v>
      </c>
      <c r="V316" t="s">
        <v>197</v>
      </c>
      <c r="Z316" s="240">
        <v>0</v>
      </c>
    </row>
    <row r="317" spans="1:32" x14ac:dyDescent="0.3">
      <c r="D317" t="s">
        <v>199</v>
      </c>
      <c r="H317" s="230">
        <v>0</v>
      </c>
      <c r="J317" t="s">
        <v>199</v>
      </c>
      <c r="N317" s="230">
        <v>0</v>
      </c>
      <c r="P317" t="s">
        <v>198</v>
      </c>
      <c r="T317" s="241">
        <f>SUM(R8)</f>
        <v>-5387603</v>
      </c>
      <c r="V317" t="s">
        <v>198</v>
      </c>
      <c r="Z317" s="241">
        <f>SUM(Z8)</f>
        <v>-187431</v>
      </c>
    </row>
    <row r="318" spans="1:32" x14ac:dyDescent="0.3">
      <c r="D318" t="s">
        <v>184</v>
      </c>
      <c r="H318" s="230">
        <v>0</v>
      </c>
      <c r="J318" t="s">
        <v>207</v>
      </c>
      <c r="N318" s="230">
        <f>SUM(L22)</f>
        <v>73635</v>
      </c>
      <c r="P318" t="s">
        <v>200</v>
      </c>
      <c r="T318" s="240">
        <v>0</v>
      </c>
      <c r="V318" t="s">
        <v>200</v>
      </c>
      <c r="Z318" s="240">
        <f>SUM(AA30)</f>
        <v>-1000000</v>
      </c>
    </row>
    <row r="319" spans="1:32" x14ac:dyDescent="0.3">
      <c r="D319" t="s">
        <v>130</v>
      </c>
      <c r="H319" s="230">
        <v>0</v>
      </c>
      <c r="J319" t="s">
        <v>130</v>
      </c>
      <c r="N319" s="230">
        <v>0</v>
      </c>
      <c r="P319" t="s">
        <v>207</v>
      </c>
      <c r="T319" s="241">
        <f>SUM(S30)</f>
        <v>50624</v>
      </c>
      <c r="V319" t="s">
        <v>207</v>
      </c>
      <c r="Z319" s="241">
        <f>SUM(Y22)</f>
        <v>25312</v>
      </c>
    </row>
    <row r="320" spans="1:32" x14ac:dyDescent="0.3">
      <c r="D320" t="s">
        <v>131</v>
      </c>
      <c r="H320" s="230">
        <v>0</v>
      </c>
      <c r="J320" t="s">
        <v>131</v>
      </c>
      <c r="N320" s="230">
        <v>0</v>
      </c>
      <c r="P320" t="s">
        <v>130</v>
      </c>
      <c r="T320" s="240">
        <v>0</v>
      </c>
      <c r="V320" t="s">
        <v>130</v>
      </c>
      <c r="Z320" s="240">
        <v>0</v>
      </c>
    </row>
    <row r="321" spans="4:26" x14ac:dyDescent="0.3">
      <c r="D321" t="s">
        <v>132</v>
      </c>
      <c r="H321" s="230">
        <v>0</v>
      </c>
      <c r="J321" t="s">
        <v>132</v>
      </c>
      <c r="N321" s="230">
        <v>0</v>
      </c>
      <c r="P321" t="s">
        <v>131</v>
      </c>
      <c r="T321" s="240">
        <v>0</v>
      </c>
      <c r="V321" t="s">
        <v>131</v>
      </c>
      <c r="Z321" s="240">
        <v>0</v>
      </c>
    </row>
    <row r="322" spans="4:26" x14ac:dyDescent="0.3">
      <c r="D322" t="s">
        <v>133</v>
      </c>
      <c r="H322" s="230">
        <v>0</v>
      </c>
      <c r="J322" t="s">
        <v>133</v>
      </c>
      <c r="N322" s="230">
        <v>0</v>
      </c>
      <c r="P322" t="s">
        <v>132</v>
      </c>
      <c r="T322" s="240">
        <v>0</v>
      </c>
      <c r="V322" t="s">
        <v>132</v>
      </c>
      <c r="Z322" s="240">
        <v>0</v>
      </c>
    </row>
    <row r="323" spans="4:26" x14ac:dyDescent="0.3">
      <c r="D323" t="s">
        <v>134</v>
      </c>
      <c r="H323" s="230">
        <v>0</v>
      </c>
      <c r="J323" t="s">
        <v>134</v>
      </c>
      <c r="N323" s="230">
        <v>0</v>
      </c>
      <c r="P323" t="s">
        <v>133</v>
      </c>
      <c r="T323" s="240">
        <v>0</v>
      </c>
      <c r="V323" t="s">
        <v>133</v>
      </c>
      <c r="Z323" s="240">
        <f>SUM(X13)</f>
        <v>55199</v>
      </c>
    </row>
    <row r="324" spans="4:26" x14ac:dyDescent="0.3">
      <c r="D324" t="s">
        <v>135</v>
      </c>
      <c r="H324" s="230">
        <f>SUM(H315:H323)</f>
        <v>0</v>
      </c>
      <c r="J324" t="s">
        <v>135</v>
      </c>
      <c r="N324" s="230">
        <f>SUM(N315:N323)</f>
        <v>73635</v>
      </c>
      <c r="P324" t="s">
        <v>134</v>
      </c>
      <c r="T324" s="240">
        <v>0</v>
      </c>
      <c r="V324" t="s">
        <v>134</v>
      </c>
      <c r="Z324" s="240">
        <v>0</v>
      </c>
    </row>
    <row r="325" spans="4:26" x14ac:dyDescent="0.3">
      <c r="P325" s="244" t="s">
        <v>135</v>
      </c>
      <c r="Q325" s="244"/>
      <c r="R325" s="244"/>
      <c r="S325" s="244"/>
      <c r="T325" s="245">
        <f>SUM(T316:T324)</f>
        <v>-5336979</v>
      </c>
      <c r="V325" s="244" t="s">
        <v>135</v>
      </c>
      <c r="W325" s="244"/>
      <c r="X325" s="244"/>
      <c r="Y325" s="244"/>
      <c r="Z325" s="245">
        <f>SUM(Z316:Z324)</f>
        <v>-1106920</v>
      </c>
    </row>
    <row r="327" spans="4:26" x14ac:dyDescent="0.3">
      <c r="D327" t="s">
        <v>136</v>
      </c>
      <c r="J327" t="s">
        <v>136</v>
      </c>
    </row>
    <row r="328" spans="4:26" x14ac:dyDescent="0.3">
      <c r="P328" s="244" t="s">
        <v>216</v>
      </c>
      <c r="Q328" s="244"/>
      <c r="R328" s="244"/>
      <c r="S328" s="244"/>
      <c r="T328" s="244"/>
      <c r="V328" s="244" t="s">
        <v>216</v>
      </c>
      <c r="W328" s="244"/>
      <c r="X328" s="244"/>
      <c r="Y328" s="244"/>
      <c r="Z328" s="244"/>
    </row>
    <row r="329" spans="4:26" x14ac:dyDescent="0.3">
      <c r="D329" t="s">
        <v>137</v>
      </c>
      <c r="H329" s="230">
        <v>0</v>
      </c>
      <c r="J329" t="s">
        <v>137</v>
      </c>
      <c r="N329" s="230">
        <v>0</v>
      </c>
    </row>
    <row r="330" spans="4:26" x14ac:dyDescent="0.3">
      <c r="D330" t="s">
        <v>140</v>
      </c>
      <c r="H330" s="230">
        <v>0</v>
      </c>
      <c r="J330" t="s">
        <v>140</v>
      </c>
      <c r="N330" s="230">
        <f>SUM(L137)</f>
        <v>8471</v>
      </c>
      <c r="P330" t="s">
        <v>139</v>
      </c>
      <c r="T330" s="242">
        <f>SUM(R98,R100,R127,R178,R204,R253,S136)</f>
        <v>-4723012</v>
      </c>
      <c r="V330" t="s">
        <v>139</v>
      </c>
      <c r="Z330" s="242">
        <f>SUM(Z98,Z100,Z178,AA187,Z204,Z253,Y130)</f>
        <v>-144462</v>
      </c>
    </row>
    <row r="331" spans="4:26" x14ac:dyDescent="0.3">
      <c r="D331" t="s">
        <v>141</v>
      </c>
      <c r="H331" s="230">
        <v>0</v>
      </c>
      <c r="J331" t="s">
        <v>141</v>
      </c>
      <c r="N331" s="230">
        <v>0</v>
      </c>
      <c r="P331" t="s">
        <v>140</v>
      </c>
      <c r="T331" s="242">
        <f>SUM(R99,R101,R128,R154,R179,R205,R254,S137)</f>
        <v>-613967</v>
      </c>
      <c r="V331" t="s">
        <v>140</v>
      </c>
      <c r="Z331" s="242">
        <f>SUM(Z99,Z101,Z128,Y137,Z154,Z179,Z205,Z254)</f>
        <v>-18641</v>
      </c>
    </row>
    <row r="332" spans="4:26" x14ac:dyDescent="0.3">
      <c r="D332" t="s">
        <v>142</v>
      </c>
      <c r="H332" s="230">
        <v>0</v>
      </c>
      <c r="J332" t="s">
        <v>142</v>
      </c>
      <c r="N332" s="230">
        <v>0</v>
      </c>
      <c r="P332" t="s">
        <v>141</v>
      </c>
      <c r="T332" s="242">
        <v>0</v>
      </c>
      <c r="V332" t="s">
        <v>141</v>
      </c>
      <c r="Z332" s="242">
        <f>SUM(X57,AA201)</f>
        <v>-943817</v>
      </c>
    </row>
    <row r="333" spans="4:26" x14ac:dyDescent="0.3">
      <c r="D333" t="s">
        <v>143</v>
      </c>
      <c r="H333" s="230">
        <v>0</v>
      </c>
      <c r="J333" t="s">
        <v>143</v>
      </c>
      <c r="N333" s="230">
        <v>0</v>
      </c>
      <c r="P333" t="s">
        <v>142</v>
      </c>
      <c r="T333" s="242">
        <v>0</v>
      </c>
      <c r="V333" t="s">
        <v>142</v>
      </c>
      <c r="Z333" s="242">
        <v>0</v>
      </c>
    </row>
    <row r="334" spans="4:26" x14ac:dyDescent="0.3">
      <c r="D334" t="s">
        <v>144</v>
      </c>
      <c r="H334" s="230">
        <v>0</v>
      </c>
      <c r="J334" t="s">
        <v>144</v>
      </c>
      <c r="N334" s="230">
        <v>0</v>
      </c>
      <c r="P334" t="s">
        <v>143</v>
      </c>
      <c r="T334" s="242">
        <v>0</v>
      </c>
      <c r="V334" t="s">
        <v>143</v>
      </c>
      <c r="Z334" s="242">
        <v>0</v>
      </c>
    </row>
    <row r="335" spans="4:26" x14ac:dyDescent="0.3">
      <c r="D335" t="s">
        <v>135</v>
      </c>
      <c r="H335" s="230">
        <f>SUM(H329:H334)</f>
        <v>0</v>
      </c>
      <c r="J335" t="s">
        <v>135</v>
      </c>
      <c r="N335" s="230">
        <f>SUM(N329:N334)</f>
        <v>8471</v>
      </c>
      <c r="P335" t="s">
        <v>144</v>
      </c>
      <c r="T335" s="242">
        <v>0</v>
      </c>
      <c r="V335" t="s">
        <v>144</v>
      </c>
      <c r="Z335" s="242">
        <v>0</v>
      </c>
    </row>
    <row r="336" spans="4:26" x14ac:dyDescent="0.3">
      <c r="P336" s="244" t="s">
        <v>135</v>
      </c>
      <c r="Q336" s="244"/>
      <c r="R336" s="244"/>
      <c r="S336" s="244"/>
      <c r="T336" s="246">
        <f>SUM(T330:T335)</f>
        <v>-5336979</v>
      </c>
      <c r="V336" s="244" t="s">
        <v>135</v>
      </c>
      <c r="W336" s="244"/>
      <c r="X336" s="244"/>
      <c r="Y336" s="244"/>
      <c r="Z336" s="246">
        <f>SUM(Z330:Z335)</f>
        <v>-1106920</v>
      </c>
    </row>
    <row r="337" spans="4:26" x14ac:dyDescent="0.3">
      <c r="P337" s="248"/>
      <c r="Q337" s="248"/>
      <c r="R337" s="248"/>
      <c r="S337" s="248"/>
      <c r="T337" s="249"/>
      <c r="V337" s="248"/>
      <c r="W337" s="248"/>
      <c r="X337" s="248"/>
      <c r="Y337" s="248"/>
      <c r="Z337" s="249"/>
    </row>
    <row r="338" spans="4:26" x14ac:dyDescent="0.3">
      <c r="D338" t="s">
        <v>145</v>
      </c>
      <c r="J338" t="s">
        <v>145</v>
      </c>
    </row>
    <row r="339" spans="4:26" x14ac:dyDescent="0.3">
      <c r="P339" s="244" t="s">
        <v>217</v>
      </c>
      <c r="Q339" s="244"/>
      <c r="R339" s="244"/>
      <c r="S339" s="244"/>
      <c r="T339" s="244"/>
      <c r="V339" s="244" t="s">
        <v>217</v>
      </c>
      <c r="W339" s="244"/>
      <c r="X339" s="244"/>
      <c r="Y339" s="244"/>
      <c r="Z339" s="244"/>
    </row>
    <row r="340" spans="4:26" x14ac:dyDescent="0.3">
      <c r="D340" t="s">
        <v>201</v>
      </c>
      <c r="H340" s="230">
        <f>SUM(E8)</f>
        <v>14151630</v>
      </c>
      <c r="J340" t="s">
        <v>201</v>
      </c>
      <c r="N340" s="230">
        <v>0</v>
      </c>
    </row>
    <row r="341" spans="4:26" x14ac:dyDescent="0.3">
      <c r="D341" t="s">
        <v>127</v>
      </c>
      <c r="H341" s="230">
        <v>0</v>
      </c>
      <c r="J341" t="s">
        <v>127</v>
      </c>
      <c r="N341" s="230">
        <v>0</v>
      </c>
      <c r="P341" t="s">
        <v>213</v>
      </c>
      <c r="T341" s="242">
        <v>0</v>
      </c>
      <c r="V341" t="s">
        <v>213</v>
      </c>
      <c r="Z341" s="242">
        <v>0</v>
      </c>
    </row>
    <row r="342" spans="4:26" x14ac:dyDescent="0.3">
      <c r="D342" t="s">
        <v>200</v>
      </c>
      <c r="H342" s="230">
        <f>SUM(E5,E20,E22,E24,E26)</f>
        <v>-14151630</v>
      </c>
      <c r="J342" t="s">
        <v>200</v>
      </c>
      <c r="N342" s="230">
        <v>0</v>
      </c>
      <c r="P342" t="s">
        <v>127</v>
      </c>
      <c r="T342" s="242">
        <v>0</v>
      </c>
      <c r="V342" t="s">
        <v>127</v>
      </c>
      <c r="Z342" s="242">
        <v>0</v>
      </c>
    </row>
    <row r="343" spans="4:26" x14ac:dyDescent="0.3">
      <c r="D343" t="s">
        <v>129</v>
      </c>
      <c r="H343" s="230">
        <v>0</v>
      </c>
      <c r="J343" t="s">
        <v>129</v>
      </c>
      <c r="N343" s="230">
        <v>0</v>
      </c>
      <c r="P343" t="s">
        <v>200</v>
      </c>
      <c r="T343" s="242">
        <v>0</v>
      </c>
      <c r="V343" t="s">
        <v>200</v>
      </c>
      <c r="Z343" s="242">
        <v>0</v>
      </c>
    </row>
    <row r="344" spans="4:26" x14ac:dyDescent="0.3">
      <c r="D344" t="s">
        <v>146</v>
      </c>
      <c r="H344" s="230">
        <v>0</v>
      </c>
      <c r="J344" t="s">
        <v>208</v>
      </c>
      <c r="N344" s="230">
        <f>SUM(K15)</f>
        <v>945</v>
      </c>
      <c r="P344" t="s">
        <v>129</v>
      </c>
      <c r="T344" s="242">
        <v>0</v>
      </c>
      <c r="V344" t="s">
        <v>129</v>
      </c>
      <c r="Z344" s="242">
        <v>0</v>
      </c>
    </row>
    <row r="345" spans="4:26" x14ac:dyDescent="0.3">
      <c r="D345" t="s">
        <v>147</v>
      </c>
      <c r="H345" s="230">
        <v>0</v>
      </c>
      <c r="J345" t="s">
        <v>147</v>
      </c>
      <c r="N345" s="230">
        <v>0</v>
      </c>
      <c r="P345" t="s">
        <v>208</v>
      </c>
      <c r="T345" s="242">
        <f>SUM(Q16)</f>
        <v>0</v>
      </c>
      <c r="V345" t="s">
        <v>208</v>
      </c>
      <c r="Z345" s="242">
        <v>0</v>
      </c>
    </row>
    <row r="346" spans="4:26" x14ac:dyDescent="0.3">
      <c r="D346" t="s">
        <v>132</v>
      </c>
      <c r="H346" s="230">
        <v>0</v>
      </c>
      <c r="J346" t="s">
        <v>132</v>
      </c>
      <c r="N346" s="230">
        <v>0</v>
      </c>
      <c r="P346" t="s">
        <v>147</v>
      </c>
      <c r="T346" s="242">
        <v>0</v>
      </c>
      <c r="V346" t="s">
        <v>147</v>
      </c>
      <c r="Z346" s="242">
        <v>0</v>
      </c>
    </row>
    <row r="347" spans="4:26" x14ac:dyDescent="0.3">
      <c r="D347" t="s">
        <v>133</v>
      </c>
      <c r="H347" s="230">
        <v>0</v>
      </c>
      <c r="J347" t="s">
        <v>133</v>
      </c>
      <c r="N347" s="230">
        <f>SUM(K13)</f>
        <v>-945</v>
      </c>
      <c r="P347" t="s">
        <v>132</v>
      </c>
      <c r="T347" s="242">
        <v>0</v>
      </c>
      <c r="V347" t="s">
        <v>132</v>
      </c>
      <c r="Z347" s="242">
        <v>0</v>
      </c>
    </row>
    <row r="348" spans="4:26" x14ac:dyDescent="0.3">
      <c r="D348" t="s">
        <v>135</v>
      </c>
      <c r="H348" s="230">
        <f>SUM(H340:H347)</f>
        <v>0</v>
      </c>
      <c r="J348" t="s">
        <v>135</v>
      </c>
      <c r="N348" s="230">
        <f>SUM(N340:N347)</f>
        <v>0</v>
      </c>
      <c r="P348" t="s">
        <v>133</v>
      </c>
      <c r="T348" s="242">
        <v>0</v>
      </c>
      <c r="V348" t="s">
        <v>133</v>
      </c>
      <c r="Z348" s="242">
        <v>0</v>
      </c>
    </row>
    <row r="349" spans="4:26" x14ac:dyDescent="0.3">
      <c r="P349" s="244" t="s">
        <v>135</v>
      </c>
      <c r="Q349" s="244"/>
      <c r="R349" s="244"/>
      <c r="S349" s="244"/>
      <c r="T349" s="246">
        <f>SUM(T341:T348)</f>
        <v>0</v>
      </c>
      <c r="V349" s="244" t="s">
        <v>135</v>
      </c>
      <c r="W349" s="244"/>
      <c r="X349" s="244"/>
      <c r="Y349" s="244"/>
      <c r="Z349" s="246">
        <f>SUM(Z341:Z348)</f>
        <v>0</v>
      </c>
    </row>
    <row r="351" spans="4:26" x14ac:dyDescent="0.3">
      <c r="D351" t="s">
        <v>148</v>
      </c>
      <c r="J351" t="s">
        <v>148</v>
      </c>
    </row>
    <row r="352" spans="4:26" x14ac:dyDescent="0.3">
      <c r="P352" s="244" t="s">
        <v>218</v>
      </c>
      <c r="Q352" s="244"/>
      <c r="R352" s="244"/>
      <c r="S352" s="244"/>
      <c r="T352" s="244"/>
      <c r="V352" s="244" t="s">
        <v>218</v>
      </c>
      <c r="W352" s="244"/>
      <c r="X352" s="244"/>
      <c r="Y352" s="244"/>
      <c r="Z352" s="244"/>
    </row>
    <row r="353" spans="4:26" x14ac:dyDescent="0.3">
      <c r="D353" t="s">
        <v>137</v>
      </c>
      <c r="H353" s="230">
        <v>0</v>
      </c>
      <c r="J353" t="s">
        <v>137</v>
      </c>
      <c r="N353" s="230">
        <v>0</v>
      </c>
    </row>
    <row r="354" spans="4:26" x14ac:dyDescent="0.3">
      <c r="D354" t="s">
        <v>140</v>
      </c>
      <c r="H354" s="230">
        <v>0</v>
      </c>
      <c r="J354" t="s">
        <v>140</v>
      </c>
      <c r="N354" s="230">
        <v>0</v>
      </c>
      <c r="P354" t="s">
        <v>139</v>
      </c>
      <c r="T354" s="242">
        <f>SUM(Q40,Q72,Q110,Q136,Q163,Q187,Q209,Q234)</f>
        <v>100000</v>
      </c>
      <c r="V354" t="s">
        <v>139</v>
      </c>
      <c r="Z354" s="242">
        <f>SUM(W40,W72,W110,W163,W187,W234)</f>
        <v>160003</v>
      </c>
    </row>
    <row r="355" spans="4:26" x14ac:dyDescent="0.3">
      <c r="D355" t="s">
        <v>141</v>
      </c>
      <c r="H355" s="230">
        <v>0</v>
      </c>
      <c r="J355" t="s">
        <v>141</v>
      </c>
      <c r="N355" s="230">
        <f>SUM(K46,K47,K52,K78,K79,K85,K117,K120,K143,K146,K170,K173,K194,K197,K241,K245,K246)</f>
        <v>-945</v>
      </c>
      <c r="P355" t="s">
        <v>140</v>
      </c>
      <c r="T355" s="242">
        <f>SUM(Q41,Q73,Q111,Q137,Q164,Q188,Q210,Q235)</f>
        <v>-100000</v>
      </c>
      <c r="V355" t="s">
        <v>140</v>
      </c>
      <c r="Z355" s="242">
        <f>SUM(W41,W73,W111,W137,W164,W188)</f>
        <v>-85619</v>
      </c>
    </row>
    <row r="356" spans="4:26" x14ac:dyDescent="0.3">
      <c r="D356" t="s">
        <v>149</v>
      </c>
      <c r="H356" s="230">
        <v>0</v>
      </c>
      <c r="J356" t="s">
        <v>149</v>
      </c>
      <c r="N356" s="230">
        <f>SUM(K59,K60)</f>
        <v>945</v>
      </c>
      <c r="P356" t="s">
        <v>141</v>
      </c>
      <c r="T356" s="242">
        <f>SUM(Q57,Q89,Q124,Q150,Q177,Q201,Q219,Q249)</f>
        <v>0</v>
      </c>
      <c r="V356" t="s">
        <v>141</v>
      </c>
      <c r="Z356" s="242">
        <f>SUM(W305)</f>
        <v>-74384</v>
      </c>
    </row>
    <row r="357" spans="4:26" x14ac:dyDescent="0.3">
      <c r="D357" t="s">
        <v>150</v>
      </c>
      <c r="H357" s="230">
        <v>0</v>
      </c>
      <c r="J357" t="s">
        <v>150</v>
      </c>
      <c r="N357" s="230">
        <v>0</v>
      </c>
      <c r="P357" t="s">
        <v>149</v>
      </c>
      <c r="T357" s="242">
        <f>SUM(Q60,Q61)</f>
        <v>0</v>
      </c>
      <c r="V357" t="s">
        <v>149</v>
      </c>
      <c r="Z357" s="242">
        <v>0</v>
      </c>
    </row>
    <row r="358" spans="4:26" x14ac:dyDescent="0.3">
      <c r="D358" t="s">
        <v>144</v>
      </c>
      <c r="H358" s="230">
        <v>0</v>
      </c>
      <c r="J358" t="s">
        <v>144</v>
      </c>
      <c r="N358" s="230">
        <v>0</v>
      </c>
      <c r="P358" t="s">
        <v>150</v>
      </c>
      <c r="T358" s="242">
        <v>0</v>
      </c>
      <c r="V358" t="s">
        <v>150</v>
      </c>
      <c r="Z358" s="242">
        <v>0</v>
      </c>
    </row>
    <row r="359" spans="4:26" x14ac:dyDescent="0.3">
      <c r="D359" t="s">
        <v>135</v>
      </c>
      <c r="H359" s="230">
        <f>SUM(H353:H358)</f>
        <v>0</v>
      </c>
      <c r="J359" t="s">
        <v>135</v>
      </c>
      <c r="N359" s="230">
        <f>SUM(N353:N358)</f>
        <v>0</v>
      </c>
      <c r="P359" t="s">
        <v>144</v>
      </c>
      <c r="T359" s="242">
        <v>0</v>
      </c>
      <c r="V359" t="s">
        <v>144</v>
      </c>
      <c r="Z359" s="242">
        <v>0</v>
      </c>
    </row>
    <row r="360" spans="4:26" x14ac:dyDescent="0.3">
      <c r="P360" s="244" t="s">
        <v>135</v>
      </c>
      <c r="Q360" s="244"/>
      <c r="R360" s="244"/>
      <c r="S360" s="244"/>
      <c r="T360" s="246">
        <f>SUM(T354:T359)</f>
        <v>0</v>
      </c>
      <c r="V360" s="244" t="s">
        <v>135</v>
      </c>
      <c r="W360" s="244"/>
      <c r="X360" s="244"/>
      <c r="Y360" s="244"/>
      <c r="Z360" s="246">
        <f>SUM(Z354:Z359)</f>
        <v>0</v>
      </c>
    </row>
    <row r="362" spans="4:26" x14ac:dyDescent="0.3">
      <c r="D362" t="s">
        <v>151</v>
      </c>
      <c r="J362" t="s">
        <v>151</v>
      </c>
    </row>
    <row r="363" spans="4:26" x14ac:dyDescent="0.3">
      <c r="P363" s="244" t="s">
        <v>151</v>
      </c>
      <c r="Q363" s="244"/>
      <c r="R363" s="244"/>
      <c r="S363" s="244"/>
      <c r="T363" s="244"/>
      <c r="V363" s="244" t="s">
        <v>151</v>
      </c>
      <c r="W363" s="244"/>
      <c r="X363" s="244"/>
      <c r="Y363" s="244"/>
      <c r="Z363" s="244"/>
    </row>
    <row r="365" spans="4:26" x14ac:dyDescent="0.3">
      <c r="D365" t="s">
        <v>198</v>
      </c>
      <c r="H365" s="230">
        <v>0</v>
      </c>
      <c r="J365" t="s">
        <v>198</v>
      </c>
      <c r="N365" s="230">
        <v>0</v>
      </c>
      <c r="P365" t="s">
        <v>214</v>
      </c>
      <c r="T365" s="242">
        <v>0</v>
      </c>
      <c r="V365" t="s">
        <v>214</v>
      </c>
      <c r="Z365" s="242">
        <v>0</v>
      </c>
    </row>
    <row r="366" spans="4:26" x14ac:dyDescent="0.3">
      <c r="D366" t="s">
        <v>199</v>
      </c>
      <c r="H366" s="230">
        <v>0</v>
      </c>
      <c r="J366" t="s">
        <v>199</v>
      </c>
      <c r="N366" s="230">
        <v>0</v>
      </c>
      <c r="P366" t="s">
        <v>198</v>
      </c>
      <c r="T366" s="242">
        <f>SUM(T317)</f>
        <v>-5387603</v>
      </c>
      <c r="V366" t="s">
        <v>198</v>
      </c>
      <c r="Z366" s="242">
        <f>SUM(Z317)</f>
        <v>-187431</v>
      </c>
    </row>
    <row r="367" spans="4:26" x14ac:dyDescent="0.3">
      <c r="D367" t="s">
        <v>184</v>
      </c>
      <c r="H367" s="230">
        <v>0</v>
      </c>
      <c r="J367" t="s">
        <v>184</v>
      </c>
      <c r="N367" s="230">
        <v>0</v>
      </c>
      <c r="P367" t="s">
        <v>200</v>
      </c>
      <c r="T367" s="242">
        <v>0</v>
      </c>
      <c r="V367" t="s">
        <v>200</v>
      </c>
      <c r="Z367" s="242">
        <f>SUM(Z318)</f>
        <v>-1000000</v>
      </c>
    </row>
    <row r="368" spans="4:26" x14ac:dyDescent="0.3">
      <c r="D368" t="s">
        <v>154</v>
      </c>
      <c r="H368" s="230">
        <v>0</v>
      </c>
      <c r="J368" t="s">
        <v>207</v>
      </c>
      <c r="N368" s="230">
        <f>SUM(N318)</f>
        <v>73635</v>
      </c>
      <c r="P368" t="s">
        <v>184</v>
      </c>
      <c r="T368" s="242">
        <v>0</v>
      </c>
      <c r="V368" t="s">
        <v>207</v>
      </c>
      <c r="Z368" s="242">
        <f>SUM(Z319)</f>
        <v>25312</v>
      </c>
    </row>
    <row r="369" spans="4:26" x14ac:dyDescent="0.3">
      <c r="D369" t="s">
        <v>132</v>
      </c>
      <c r="H369" s="230">
        <v>0</v>
      </c>
      <c r="J369" t="s">
        <v>132</v>
      </c>
      <c r="N369" s="230">
        <v>0</v>
      </c>
      <c r="P369" t="s">
        <v>147</v>
      </c>
      <c r="T369" s="242">
        <v>0</v>
      </c>
      <c r="V369" t="s">
        <v>147</v>
      </c>
      <c r="Z369" s="242">
        <v>0</v>
      </c>
    </row>
    <row r="370" spans="4:26" x14ac:dyDescent="0.3">
      <c r="D370" t="s">
        <v>133</v>
      </c>
      <c r="H370" s="230">
        <v>0</v>
      </c>
      <c r="J370" t="s">
        <v>133</v>
      </c>
      <c r="N370" s="230">
        <f>SUM(N347)</f>
        <v>-945</v>
      </c>
      <c r="P370" t="s">
        <v>132</v>
      </c>
      <c r="T370" s="242">
        <v>0</v>
      </c>
      <c r="V370" t="s">
        <v>132</v>
      </c>
      <c r="Z370" s="242">
        <v>0</v>
      </c>
    </row>
    <row r="371" spans="4:26" x14ac:dyDescent="0.3">
      <c r="D371" t="s">
        <v>134</v>
      </c>
      <c r="H371" s="230">
        <v>0</v>
      </c>
      <c r="J371" t="s">
        <v>208</v>
      </c>
      <c r="N371" s="230">
        <f>SUM(N344)</f>
        <v>945</v>
      </c>
      <c r="P371" t="s">
        <v>133</v>
      </c>
      <c r="T371" s="242">
        <f>SUM(T348)</f>
        <v>0</v>
      </c>
      <c r="V371" t="s">
        <v>133</v>
      </c>
      <c r="Z371" s="242">
        <f>SUM(Z323)</f>
        <v>55199</v>
      </c>
    </row>
    <row r="372" spans="4:26" x14ac:dyDescent="0.3">
      <c r="D372" t="s">
        <v>135</v>
      </c>
      <c r="H372" s="230">
        <f>SUM(H365:H371)</f>
        <v>0</v>
      </c>
      <c r="J372" t="s">
        <v>135</v>
      </c>
      <c r="N372" s="230">
        <f>SUM(N365:N371)</f>
        <v>73635</v>
      </c>
      <c r="P372" t="s">
        <v>208</v>
      </c>
      <c r="T372" s="242">
        <f>SUM(T345)</f>
        <v>0</v>
      </c>
      <c r="V372" t="s">
        <v>208</v>
      </c>
      <c r="Z372" s="242">
        <f>SUM(Z345)</f>
        <v>0</v>
      </c>
    </row>
    <row r="373" spans="4:26" x14ac:dyDescent="0.3">
      <c r="P373" s="244" t="s">
        <v>135</v>
      </c>
      <c r="Q373" s="244"/>
      <c r="R373" s="244"/>
      <c r="S373" s="244"/>
      <c r="T373" s="246">
        <f>SUM(T365:T372)</f>
        <v>-5387603</v>
      </c>
      <c r="V373" s="244" t="s">
        <v>135</v>
      </c>
      <c r="W373" s="244"/>
      <c r="X373" s="244"/>
      <c r="Y373" s="244"/>
      <c r="Z373" s="246">
        <f>SUM(Z365:Z372)</f>
        <v>-1106920</v>
      </c>
    </row>
    <row r="375" spans="4:26" x14ac:dyDescent="0.3">
      <c r="D375" t="s">
        <v>155</v>
      </c>
      <c r="J375" t="s">
        <v>155</v>
      </c>
    </row>
    <row r="376" spans="4:26" x14ac:dyDescent="0.3">
      <c r="P376" s="244" t="s">
        <v>155</v>
      </c>
      <c r="Q376" s="244"/>
      <c r="R376" s="244"/>
      <c r="S376" s="244"/>
      <c r="T376" s="244"/>
      <c r="V376" s="244" t="s">
        <v>155</v>
      </c>
      <c r="W376" s="244"/>
      <c r="X376" s="244"/>
      <c r="Y376" s="244"/>
      <c r="Z376" s="244"/>
    </row>
    <row r="377" spans="4:26" x14ac:dyDescent="0.3">
      <c r="D377" t="s">
        <v>137</v>
      </c>
      <c r="H377" s="230">
        <v>0</v>
      </c>
      <c r="J377" t="s">
        <v>137</v>
      </c>
      <c r="N377" s="230">
        <v>0</v>
      </c>
    </row>
    <row r="378" spans="4:26" x14ac:dyDescent="0.3">
      <c r="D378" t="s">
        <v>140</v>
      </c>
      <c r="H378" s="230">
        <v>0</v>
      </c>
      <c r="J378" t="s">
        <v>140</v>
      </c>
      <c r="N378" s="230">
        <f>SUM(N330)</f>
        <v>8471</v>
      </c>
      <c r="P378" t="s">
        <v>139</v>
      </c>
      <c r="T378" s="243">
        <f>SUM(T330,T354)</f>
        <v>-4623012</v>
      </c>
      <c r="V378" t="s">
        <v>139</v>
      </c>
      <c r="Z378" s="243">
        <f>SUM(Z330,Z354)</f>
        <v>15541</v>
      </c>
    </row>
    <row r="379" spans="4:26" x14ac:dyDescent="0.3">
      <c r="D379" t="s">
        <v>141</v>
      </c>
      <c r="H379" s="230">
        <v>0</v>
      </c>
      <c r="J379" t="s">
        <v>141</v>
      </c>
      <c r="N379" s="230">
        <f>SUM(N355)</f>
        <v>-945</v>
      </c>
      <c r="P379" t="s">
        <v>140</v>
      </c>
      <c r="T379" s="243">
        <f>SUM(T331,T355)</f>
        <v>-713967</v>
      </c>
      <c r="V379" t="s">
        <v>140</v>
      </c>
      <c r="Z379" s="243">
        <f t="shared" ref="Z379:Z382" si="177">SUM(Z331,Z355)</f>
        <v>-104260</v>
      </c>
    </row>
    <row r="380" spans="4:26" x14ac:dyDescent="0.3">
      <c r="D380" t="s">
        <v>149</v>
      </c>
      <c r="H380" s="230">
        <v>0</v>
      </c>
      <c r="J380" t="s">
        <v>149</v>
      </c>
      <c r="N380" s="230">
        <f>SUM(N356)</f>
        <v>945</v>
      </c>
      <c r="P380" t="s">
        <v>141</v>
      </c>
      <c r="T380" s="243">
        <f>SUM(T356,T332)</f>
        <v>0</v>
      </c>
      <c r="V380" t="s">
        <v>141</v>
      </c>
      <c r="Z380" s="243">
        <f t="shared" si="177"/>
        <v>-1018201</v>
      </c>
    </row>
    <row r="381" spans="4:26" x14ac:dyDescent="0.3">
      <c r="D381" t="s">
        <v>150</v>
      </c>
      <c r="H381" s="230">
        <v>0</v>
      </c>
      <c r="J381" t="s">
        <v>150</v>
      </c>
      <c r="N381" s="230">
        <v>0</v>
      </c>
      <c r="P381" t="s">
        <v>149</v>
      </c>
      <c r="T381" s="243">
        <f>SUM(T357)</f>
        <v>0</v>
      </c>
      <c r="V381" t="s">
        <v>149</v>
      </c>
      <c r="Z381" s="243">
        <f t="shared" si="177"/>
        <v>0</v>
      </c>
    </row>
    <row r="382" spans="4:26" x14ac:dyDescent="0.3">
      <c r="D382" t="s">
        <v>144</v>
      </c>
      <c r="H382" s="230">
        <v>0</v>
      </c>
      <c r="J382" t="s">
        <v>144</v>
      </c>
      <c r="N382" s="230">
        <v>0</v>
      </c>
      <c r="P382" t="s">
        <v>150</v>
      </c>
      <c r="T382" s="243">
        <v>0</v>
      </c>
      <c r="V382" t="s">
        <v>150</v>
      </c>
      <c r="Z382" s="243">
        <f t="shared" si="177"/>
        <v>0</v>
      </c>
    </row>
    <row r="383" spans="4:26" x14ac:dyDescent="0.3">
      <c r="P383" s="244" t="s">
        <v>135</v>
      </c>
      <c r="Q383" s="244"/>
      <c r="R383" s="244"/>
      <c r="S383" s="244"/>
      <c r="T383" s="247">
        <f>SUM(T378:T382)</f>
        <v>-5336979</v>
      </c>
      <c r="V383" s="244" t="s">
        <v>135</v>
      </c>
      <c r="W383" s="244"/>
      <c r="X383" s="244"/>
      <c r="Y383" s="244"/>
      <c r="Z383" s="247">
        <f>SUM(Z378:Z382)</f>
        <v>-1106920</v>
      </c>
    </row>
  </sheetData>
  <autoFilter ref="A4:AF256" xr:uid="{00000000-0009-0000-0000-00000D000000}"/>
  <mergeCells count="78">
    <mergeCell ref="A1:AF1"/>
    <mergeCell ref="A3:A4"/>
    <mergeCell ref="B3:B4"/>
    <mergeCell ref="C3:C4"/>
    <mergeCell ref="D3:D4"/>
    <mergeCell ref="E3:I3"/>
    <mergeCell ref="J3:J4"/>
    <mergeCell ref="AE3:AE4"/>
    <mergeCell ref="AF3:AF4"/>
    <mergeCell ref="K3:O3"/>
    <mergeCell ref="P3:P4"/>
    <mergeCell ref="Q3:U3"/>
    <mergeCell ref="V3:V4"/>
    <mergeCell ref="W3:AC3"/>
    <mergeCell ref="A5:A18"/>
    <mergeCell ref="B5:B8"/>
    <mergeCell ref="A20:A21"/>
    <mergeCell ref="B20:B21"/>
    <mergeCell ref="B16:B18"/>
    <mergeCell ref="B9:B15"/>
    <mergeCell ref="A22:A23"/>
    <mergeCell ref="B22:B23"/>
    <mergeCell ref="A24:A25"/>
    <mergeCell ref="B24:B25"/>
    <mergeCell ref="A26:A27"/>
    <mergeCell ref="B26:B27"/>
    <mergeCell ref="A28:A29"/>
    <mergeCell ref="B28:B29"/>
    <mergeCell ref="A30:C30"/>
    <mergeCell ref="A31:A93"/>
    <mergeCell ref="B31:B61"/>
    <mergeCell ref="B62:B93"/>
    <mergeCell ref="A94:A95"/>
    <mergeCell ref="B94:B95"/>
    <mergeCell ref="A96:A97"/>
    <mergeCell ref="B96:B97"/>
    <mergeCell ref="A98:A99"/>
    <mergeCell ref="B98:B99"/>
    <mergeCell ref="A151:A152"/>
    <mergeCell ref="B151:B152"/>
    <mergeCell ref="A100:A101"/>
    <mergeCell ref="B100:B101"/>
    <mergeCell ref="A102:C102"/>
    <mergeCell ref="A103:A124"/>
    <mergeCell ref="B103:B124"/>
    <mergeCell ref="A125:A126"/>
    <mergeCell ref="B125:B126"/>
    <mergeCell ref="A127:A128"/>
    <mergeCell ref="B127:B128"/>
    <mergeCell ref="A129:C129"/>
    <mergeCell ref="A130:A150"/>
    <mergeCell ref="B130:B150"/>
    <mergeCell ref="A204:A205"/>
    <mergeCell ref="B204:B205"/>
    <mergeCell ref="A153:A154"/>
    <mergeCell ref="B153:B154"/>
    <mergeCell ref="A155:C155"/>
    <mergeCell ref="A156:A177"/>
    <mergeCell ref="B156:B177"/>
    <mergeCell ref="A178:A179"/>
    <mergeCell ref="B178:B179"/>
    <mergeCell ref="A180:C180"/>
    <mergeCell ref="A181:A201"/>
    <mergeCell ref="B181:B201"/>
    <mergeCell ref="A202:A203"/>
    <mergeCell ref="B202:B203"/>
    <mergeCell ref="A264:B311"/>
    <mergeCell ref="A206:C206"/>
    <mergeCell ref="A207:A224"/>
    <mergeCell ref="B207:B224"/>
    <mergeCell ref="A225:C225"/>
    <mergeCell ref="A253:A254"/>
    <mergeCell ref="B253:B254"/>
    <mergeCell ref="A255:C255"/>
    <mergeCell ref="A256:C256"/>
    <mergeCell ref="A263:AE263"/>
    <mergeCell ref="A226:A252"/>
    <mergeCell ref="B226:B252"/>
  </mergeCells>
  <phoneticPr fontId="42" type="noConversion"/>
  <pageMargins left="0.31496062992125984" right="0.27559055118110237" top="0.74803149606299213" bottom="0.43307086614173229" header="0.31496062992125984" footer="0.31496062992125984"/>
  <pageSetup paperSize="9" scale="44" orientation="portrait" r:id="rId1"/>
  <rowBreaks count="3" manualBreakCount="3">
    <brk id="102" max="16383" man="1"/>
    <brk id="206" max="16383" man="1"/>
    <brk id="3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4"/>
  <sheetViews>
    <sheetView workbookViewId="0">
      <pane xSplit="2" ySplit="4" topLeftCell="C191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46.5546875" bestFit="1" customWidth="1"/>
    <col min="3" max="3" width="7.6640625" customWidth="1"/>
    <col min="4" max="5" width="13.6640625" customWidth="1"/>
    <col min="6" max="6" width="13.44140625" customWidth="1"/>
    <col min="7" max="9" width="10.33203125" bestFit="1" customWidth="1"/>
    <col min="10" max="10" width="13.88671875" bestFit="1" customWidth="1"/>
    <col min="11" max="11" width="16.44140625" customWidth="1"/>
    <col min="12" max="12" width="16.33203125" customWidth="1"/>
  </cols>
  <sheetData>
    <row r="1" spans="1:12" ht="21" x14ac:dyDescent="0.3">
      <c r="A1" s="287" t="s">
        <v>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</row>
    <row r="2" spans="1:12" x14ac:dyDescent="0.3">
      <c r="B2" s="5"/>
      <c r="E2" s="4"/>
      <c r="F2" s="4"/>
      <c r="G2" s="4"/>
      <c r="H2" s="4"/>
      <c r="I2" s="4"/>
      <c r="J2" s="4"/>
      <c r="K2" s="39"/>
    </row>
    <row r="3" spans="1:12" ht="15" customHeight="1" x14ac:dyDescent="0.3">
      <c r="A3" s="288" t="s">
        <v>1</v>
      </c>
      <c r="B3" s="290" t="s">
        <v>2</v>
      </c>
      <c r="C3" s="288" t="s">
        <v>3</v>
      </c>
      <c r="D3" s="288" t="s">
        <v>4</v>
      </c>
      <c r="E3" s="292" t="s">
        <v>89</v>
      </c>
      <c r="F3" s="294" t="s">
        <v>93</v>
      </c>
      <c r="G3" s="295"/>
      <c r="H3" s="295"/>
      <c r="I3" s="296"/>
      <c r="J3" s="292" t="s">
        <v>90</v>
      </c>
      <c r="K3" s="297" t="s">
        <v>91</v>
      </c>
      <c r="L3" s="298" t="s">
        <v>92</v>
      </c>
    </row>
    <row r="4" spans="1:12" x14ac:dyDescent="0.3">
      <c r="A4" s="289"/>
      <c r="B4" s="291"/>
      <c r="C4" s="289"/>
      <c r="D4" s="289"/>
      <c r="E4" s="293"/>
      <c r="F4" s="70" t="s">
        <v>70</v>
      </c>
      <c r="G4" s="70" t="s">
        <v>71</v>
      </c>
      <c r="H4" s="70" t="s">
        <v>71</v>
      </c>
      <c r="I4" s="70" t="s">
        <v>71</v>
      </c>
      <c r="J4" s="293"/>
      <c r="K4" s="297"/>
      <c r="L4" s="298"/>
    </row>
    <row r="5" spans="1:12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v>54810810</v>
      </c>
      <c r="F5" s="3"/>
      <c r="G5" s="3"/>
      <c r="H5" s="3"/>
      <c r="I5" s="3"/>
      <c r="J5" s="20">
        <f>E5+F5+G5+H5+I5</f>
        <v>54810810</v>
      </c>
      <c r="K5" s="51">
        <v>18270271</v>
      </c>
      <c r="L5" s="3">
        <f>J5-K5</f>
        <v>36540539</v>
      </c>
    </row>
    <row r="6" spans="1:12" x14ac:dyDescent="0.3">
      <c r="A6" s="285"/>
      <c r="B6" s="261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51">
        <v>7273070</v>
      </c>
      <c r="L6" s="3">
        <f t="shared" ref="L6:L23" si="1">J6-K6</f>
        <v>0</v>
      </c>
    </row>
    <row r="7" spans="1:12" x14ac:dyDescent="0.3">
      <c r="A7" s="285"/>
      <c r="B7" s="261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51">
        <v>32904001</v>
      </c>
      <c r="L7" s="3">
        <f t="shared" si="1"/>
        <v>64081671</v>
      </c>
    </row>
    <row r="8" spans="1:12" x14ac:dyDescent="0.3">
      <c r="A8" s="285"/>
      <c r="B8" s="264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51">
        <v>0</v>
      </c>
      <c r="L8" s="3">
        <f t="shared" si="1"/>
        <v>200000</v>
      </c>
    </row>
    <row r="9" spans="1:12" x14ac:dyDescent="0.3">
      <c r="A9" s="285"/>
      <c r="B9" s="268"/>
      <c r="C9" s="2" t="s">
        <v>19</v>
      </c>
      <c r="D9" s="3">
        <v>13200</v>
      </c>
      <c r="E9" s="3">
        <v>11554</v>
      </c>
      <c r="F9" s="3">
        <v>-14</v>
      </c>
      <c r="G9" s="3"/>
      <c r="H9" s="3"/>
      <c r="I9" s="3"/>
      <c r="J9" s="20">
        <f t="shared" si="0"/>
        <v>11540</v>
      </c>
      <c r="K9" s="51">
        <v>4311</v>
      </c>
      <c r="L9" s="3">
        <f t="shared" si="1"/>
        <v>7229</v>
      </c>
    </row>
    <row r="10" spans="1:12" x14ac:dyDescent="0.3">
      <c r="A10" s="285"/>
      <c r="B10" s="268"/>
      <c r="C10" s="2" t="s">
        <v>20</v>
      </c>
      <c r="D10" s="3">
        <v>500</v>
      </c>
      <c r="E10" s="3">
        <v>64</v>
      </c>
      <c r="F10" s="3">
        <f>14-17</f>
        <v>-3</v>
      </c>
      <c r="G10" s="3"/>
      <c r="H10" s="3"/>
      <c r="I10" s="3"/>
      <c r="J10" s="20">
        <f t="shared" si="0"/>
        <v>61</v>
      </c>
      <c r="K10" s="51">
        <v>61</v>
      </c>
      <c r="L10" s="3">
        <f t="shared" si="1"/>
        <v>0</v>
      </c>
    </row>
    <row r="11" spans="1:12" x14ac:dyDescent="0.3">
      <c r="A11" s="285"/>
      <c r="B11" s="265"/>
      <c r="C11" s="2" t="s">
        <v>84</v>
      </c>
      <c r="D11" s="3">
        <v>0</v>
      </c>
      <c r="E11" s="3">
        <v>2538</v>
      </c>
      <c r="F11" s="3"/>
      <c r="G11" s="3"/>
      <c r="H11" s="3"/>
      <c r="I11" s="3"/>
      <c r="J11" s="20">
        <f t="shared" si="0"/>
        <v>2538</v>
      </c>
      <c r="K11" s="51">
        <v>2538</v>
      </c>
      <c r="L11" s="3">
        <f t="shared" si="1"/>
        <v>0</v>
      </c>
    </row>
    <row r="12" spans="1:12" x14ac:dyDescent="0.3">
      <c r="A12" s="285"/>
      <c r="B12" s="264">
        <v>104043</v>
      </c>
      <c r="C12" s="2" t="s">
        <v>20</v>
      </c>
      <c r="D12" s="3">
        <v>500</v>
      </c>
      <c r="E12" s="3">
        <v>43</v>
      </c>
      <c r="F12" s="3">
        <v>17</v>
      </c>
      <c r="G12" s="3"/>
      <c r="H12" s="3"/>
      <c r="I12" s="3"/>
      <c r="J12" s="20">
        <f t="shared" si="0"/>
        <v>60</v>
      </c>
      <c r="K12" s="51">
        <v>60</v>
      </c>
      <c r="L12" s="3">
        <f t="shared" si="1"/>
        <v>0</v>
      </c>
    </row>
    <row r="13" spans="1:12" x14ac:dyDescent="0.3">
      <c r="A13" s="263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51">
        <v>1</v>
      </c>
      <c r="L13" s="3">
        <f t="shared" si="1"/>
        <v>0</v>
      </c>
    </row>
    <row r="14" spans="1:12" x14ac:dyDescent="0.3">
      <c r="A14" s="254" t="s">
        <v>7</v>
      </c>
      <c r="B14" s="261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51">
        <v>74405</v>
      </c>
      <c r="L14" s="3">
        <f t="shared" si="1"/>
        <v>171577</v>
      </c>
    </row>
    <row r="15" spans="1:12" x14ac:dyDescent="0.3">
      <c r="A15" s="254"/>
      <c r="B15" s="261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51">
        <v>1005557</v>
      </c>
      <c r="L15" s="3">
        <f t="shared" si="1"/>
        <v>0</v>
      </c>
    </row>
    <row r="16" spans="1:12" x14ac:dyDescent="0.3">
      <c r="A16" s="254" t="s">
        <v>8</v>
      </c>
      <c r="B16" s="261" t="s">
        <v>21</v>
      </c>
      <c r="C16" s="2" t="s">
        <v>16</v>
      </c>
      <c r="D16" s="3">
        <v>3086953</v>
      </c>
      <c r="E16" s="3">
        <v>3086953</v>
      </c>
      <c r="F16" s="3"/>
      <c r="G16" s="3"/>
      <c r="H16" s="3"/>
      <c r="I16" s="3"/>
      <c r="J16" s="20">
        <f t="shared" si="0"/>
        <v>3086953</v>
      </c>
      <c r="K16" s="51">
        <v>771738</v>
      </c>
      <c r="L16" s="3">
        <f t="shared" si="1"/>
        <v>2315215</v>
      </c>
    </row>
    <row r="17" spans="1:12" x14ac:dyDescent="0.3">
      <c r="A17" s="254"/>
      <c r="B17" s="261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51">
        <v>440959</v>
      </c>
      <c r="L17" s="3">
        <f t="shared" si="1"/>
        <v>0</v>
      </c>
    </row>
    <row r="18" spans="1:12" x14ac:dyDescent="0.3">
      <c r="A18" s="254" t="s">
        <v>9</v>
      </c>
      <c r="B18" s="261" t="s">
        <v>21</v>
      </c>
      <c r="C18" s="2" t="s">
        <v>16</v>
      </c>
      <c r="D18" s="3">
        <v>1403439</v>
      </c>
      <c r="E18" s="3">
        <v>1403439</v>
      </c>
      <c r="F18" s="3"/>
      <c r="G18" s="3"/>
      <c r="H18" s="3"/>
      <c r="I18" s="3"/>
      <c r="J18" s="20">
        <f t="shared" si="0"/>
        <v>1403439</v>
      </c>
      <c r="K18" s="51">
        <v>350860</v>
      </c>
      <c r="L18" s="3">
        <f t="shared" si="1"/>
        <v>1052579</v>
      </c>
    </row>
    <row r="19" spans="1:12" x14ac:dyDescent="0.3">
      <c r="A19" s="254"/>
      <c r="B19" s="261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51">
        <v>599759</v>
      </c>
      <c r="L19" s="3">
        <f t="shared" si="1"/>
        <v>0</v>
      </c>
    </row>
    <row r="20" spans="1:12" x14ac:dyDescent="0.3">
      <c r="A20" s="262" t="s">
        <v>54</v>
      </c>
      <c r="B20" s="264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51">
        <v>992809</v>
      </c>
      <c r="L20" s="3">
        <f t="shared" si="1"/>
        <v>3063574</v>
      </c>
    </row>
    <row r="21" spans="1:12" x14ac:dyDescent="0.3">
      <c r="A21" s="263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51">
        <v>226299</v>
      </c>
      <c r="L21" s="3">
        <f t="shared" si="1"/>
        <v>0</v>
      </c>
    </row>
    <row r="22" spans="1:12" x14ac:dyDescent="0.3">
      <c r="A22" s="254" t="s">
        <v>10</v>
      </c>
      <c r="B22" s="261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51">
        <v>16810012</v>
      </c>
      <c r="L22" s="3">
        <f t="shared" si="1"/>
        <v>36817380</v>
      </c>
    </row>
    <row r="23" spans="1:12" x14ac:dyDescent="0.3">
      <c r="A23" s="254"/>
      <c r="B23" s="261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51">
        <v>6467166</v>
      </c>
      <c r="L23" s="3">
        <f t="shared" si="1"/>
        <v>0</v>
      </c>
    </row>
    <row r="24" spans="1:12" ht="30" customHeight="1" x14ac:dyDescent="0.3">
      <c r="A24" s="299" t="s">
        <v>73</v>
      </c>
      <c r="B24" s="300"/>
      <c r="C24" s="301"/>
      <c r="D24" s="69">
        <f t="shared" ref="D24:K24" si="2">SUM(D5:D23)</f>
        <v>230443641</v>
      </c>
      <c r="E24" s="69">
        <f t="shared" si="2"/>
        <v>230443641</v>
      </c>
      <c r="F24" s="69">
        <f t="shared" si="2"/>
        <v>0</v>
      </c>
      <c r="G24" s="69">
        <f t="shared" si="2"/>
        <v>0</v>
      </c>
      <c r="H24" s="69">
        <f t="shared" si="2"/>
        <v>0</v>
      </c>
      <c r="I24" s="69">
        <f t="shared" si="2"/>
        <v>0</v>
      </c>
      <c r="J24" s="69">
        <f t="shared" si="2"/>
        <v>230443641</v>
      </c>
      <c r="K24" s="69">
        <f t="shared" si="2"/>
        <v>86193877</v>
      </c>
      <c r="L24" s="69">
        <f t="shared" ref="L24" si="3">SUM(L5:L23)</f>
        <v>144249764</v>
      </c>
    </row>
    <row r="25" spans="1:12" x14ac:dyDescent="0.3">
      <c r="A25" s="254" t="s">
        <v>11</v>
      </c>
      <c r="B25" s="264" t="s">
        <v>23</v>
      </c>
      <c r="C25" s="2" t="s">
        <v>24</v>
      </c>
      <c r="D25" s="3">
        <v>35883092</v>
      </c>
      <c r="E25" s="3">
        <v>35791184</v>
      </c>
      <c r="F25" s="3"/>
      <c r="G25" s="3"/>
      <c r="H25" s="3"/>
      <c r="I25" s="3"/>
      <c r="J25" s="20">
        <f t="shared" ref="J25:J31" si="4">E25+F25+G25+H25+I25</f>
        <v>35791184</v>
      </c>
      <c r="K25" s="51">
        <v>10363635</v>
      </c>
      <c r="L25" s="3">
        <f t="shared" ref="L25:L31" si="5">J25-K25</f>
        <v>25427549</v>
      </c>
    </row>
    <row r="26" spans="1:12" x14ac:dyDescent="0.3">
      <c r="A26" s="254"/>
      <c r="B26" s="268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4"/>
        <v>1542000</v>
      </c>
      <c r="K26" s="51">
        <v>0</v>
      </c>
      <c r="L26" s="3">
        <f t="shared" si="5"/>
        <v>1542000</v>
      </c>
    </row>
    <row r="27" spans="1:12" x14ac:dyDescent="0.3">
      <c r="A27" s="254"/>
      <c r="B27" s="268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4"/>
        <v>80000</v>
      </c>
      <c r="K27" s="51">
        <v>0</v>
      </c>
      <c r="L27" s="3">
        <f t="shared" si="5"/>
        <v>80000</v>
      </c>
    </row>
    <row r="28" spans="1:12" x14ac:dyDescent="0.3">
      <c r="A28" s="254"/>
      <c r="B28" s="268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4"/>
        <v>893400</v>
      </c>
      <c r="K28" s="51">
        <v>189930</v>
      </c>
      <c r="L28" s="3">
        <f t="shared" si="5"/>
        <v>703470</v>
      </c>
    </row>
    <row r="29" spans="1:12" x14ac:dyDescent="0.3">
      <c r="A29" s="254"/>
      <c r="B29" s="268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4"/>
        <v>190000</v>
      </c>
      <c r="K29" s="51">
        <v>0</v>
      </c>
      <c r="L29" s="3">
        <f t="shared" si="5"/>
        <v>190000</v>
      </c>
    </row>
    <row r="30" spans="1:12" x14ac:dyDescent="0.3">
      <c r="A30" s="254"/>
      <c r="B30" s="268"/>
      <c r="C30" s="2" t="s">
        <v>29</v>
      </c>
      <c r="D30" s="3">
        <v>1086500</v>
      </c>
      <c r="E30" s="3">
        <v>1178408</v>
      </c>
      <c r="F30" s="3"/>
      <c r="G30" s="3"/>
      <c r="H30" s="3"/>
      <c r="I30" s="3"/>
      <c r="J30" s="20">
        <f t="shared" si="4"/>
        <v>1178408</v>
      </c>
      <c r="K30" s="51">
        <v>233821</v>
      </c>
      <c r="L30" s="3">
        <f t="shared" si="5"/>
        <v>944587</v>
      </c>
    </row>
    <row r="31" spans="1:12" x14ac:dyDescent="0.3">
      <c r="A31" s="254"/>
      <c r="B31" s="268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4"/>
        <v>100000</v>
      </c>
      <c r="K31" s="51">
        <v>1500</v>
      </c>
      <c r="L31" s="3">
        <f t="shared" si="5"/>
        <v>98500</v>
      </c>
    </row>
    <row r="32" spans="1:12" x14ac:dyDescent="0.3">
      <c r="A32" s="254"/>
      <c r="B32" s="268"/>
      <c r="C32" s="6" t="s">
        <v>53</v>
      </c>
      <c r="D32" s="7">
        <f>SUM(D25:D31)</f>
        <v>39774992</v>
      </c>
      <c r="E32" s="7">
        <v>39774992</v>
      </c>
      <c r="F32" s="7">
        <f t="shared" ref="F32:L32" si="6">SUM(F25:F31)</f>
        <v>0</v>
      </c>
      <c r="G32" s="7">
        <f t="shared" si="6"/>
        <v>0</v>
      </c>
      <c r="H32" s="7">
        <f t="shared" si="6"/>
        <v>0</v>
      </c>
      <c r="I32" s="7">
        <f t="shared" si="6"/>
        <v>0</v>
      </c>
      <c r="J32" s="7">
        <f t="shared" si="6"/>
        <v>39774992</v>
      </c>
      <c r="K32" s="52">
        <f t="shared" si="6"/>
        <v>10788886</v>
      </c>
      <c r="L32" s="7">
        <f t="shared" si="6"/>
        <v>28986106</v>
      </c>
    </row>
    <row r="33" spans="1:12" x14ac:dyDescent="0.3">
      <c r="A33" s="254"/>
      <c r="B33" s="268"/>
      <c r="C33" s="6" t="s">
        <v>31</v>
      </c>
      <c r="D33" s="7">
        <v>7793417</v>
      </c>
      <c r="E33" s="7">
        <v>7793417</v>
      </c>
      <c r="F33" s="7"/>
      <c r="G33" s="7"/>
      <c r="H33" s="7"/>
      <c r="I33" s="7"/>
      <c r="J33" s="21">
        <f t="shared" ref="J33:J47" si="7">E33+F33+G33+H33+I33</f>
        <v>7793417</v>
      </c>
      <c r="K33" s="53">
        <v>2180565</v>
      </c>
      <c r="L33" s="8">
        <f t="shared" ref="L33:L47" si="8">J33-K33</f>
        <v>5612852</v>
      </c>
    </row>
    <row r="34" spans="1:12" x14ac:dyDescent="0.3">
      <c r="A34" s="254"/>
      <c r="B34" s="268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7"/>
        <v>105000</v>
      </c>
      <c r="K34" s="51">
        <v>0</v>
      </c>
      <c r="L34" s="3">
        <f t="shared" si="8"/>
        <v>105000</v>
      </c>
    </row>
    <row r="35" spans="1:12" x14ac:dyDescent="0.3">
      <c r="A35" s="254"/>
      <c r="B35" s="268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7"/>
        <v>500000</v>
      </c>
      <c r="K35" s="51">
        <v>0</v>
      </c>
      <c r="L35" s="3">
        <f t="shared" si="8"/>
        <v>500000</v>
      </c>
    </row>
    <row r="36" spans="1:12" x14ac:dyDescent="0.3">
      <c r="A36" s="254"/>
      <c r="B36" s="268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7"/>
        <v>213000</v>
      </c>
      <c r="K36" s="51">
        <v>26813</v>
      </c>
      <c r="L36" s="3">
        <f t="shared" si="8"/>
        <v>186187</v>
      </c>
    </row>
    <row r="37" spans="1:12" x14ac:dyDescent="0.3">
      <c r="A37" s="254"/>
      <c r="B37" s="268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7"/>
        <v>162000</v>
      </c>
      <c r="K37" s="51">
        <v>21830</v>
      </c>
      <c r="L37" s="3">
        <f t="shared" si="8"/>
        <v>140170</v>
      </c>
    </row>
    <row r="38" spans="1:12" x14ac:dyDescent="0.3">
      <c r="A38" s="254"/>
      <c r="B38" s="268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7"/>
        <v>569540</v>
      </c>
      <c r="K38" s="51">
        <v>207240</v>
      </c>
      <c r="L38" s="3">
        <f t="shared" si="8"/>
        <v>362300</v>
      </c>
    </row>
    <row r="39" spans="1:12" x14ac:dyDescent="0.3">
      <c r="A39" s="254"/>
      <c r="B39" s="268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7"/>
        <v>3000</v>
      </c>
      <c r="K39" s="51">
        <v>0</v>
      </c>
      <c r="L39" s="3">
        <f t="shared" si="8"/>
        <v>3000</v>
      </c>
    </row>
    <row r="40" spans="1:12" x14ac:dyDescent="0.3">
      <c r="A40" s="254"/>
      <c r="B40" s="268"/>
      <c r="C40" s="2" t="s">
        <v>38</v>
      </c>
      <c r="D40" s="3">
        <v>460000</v>
      </c>
      <c r="E40" s="3">
        <v>460000</v>
      </c>
      <c r="F40" s="3"/>
      <c r="G40" s="3"/>
      <c r="H40" s="3"/>
      <c r="I40" s="3"/>
      <c r="J40" s="20">
        <f t="shared" si="7"/>
        <v>460000</v>
      </c>
      <c r="K40" s="51">
        <v>56899</v>
      </c>
      <c r="L40" s="3">
        <f t="shared" si="8"/>
        <v>403101</v>
      </c>
    </row>
    <row r="41" spans="1:12" x14ac:dyDescent="0.3">
      <c r="A41" s="254"/>
      <c r="B41" s="268"/>
      <c r="C41" s="2" t="s">
        <v>39</v>
      </c>
      <c r="D41" s="3">
        <v>13200</v>
      </c>
      <c r="E41" s="3">
        <v>11554</v>
      </c>
      <c r="F41" s="3">
        <v>-14</v>
      </c>
      <c r="G41" s="3"/>
      <c r="H41" s="3"/>
      <c r="I41" s="3"/>
      <c r="J41" s="20">
        <f t="shared" si="7"/>
        <v>11540</v>
      </c>
      <c r="K41" s="51">
        <v>4311</v>
      </c>
      <c r="L41" s="3">
        <f t="shared" si="8"/>
        <v>7229</v>
      </c>
    </row>
    <row r="42" spans="1:12" x14ac:dyDescent="0.3">
      <c r="A42" s="254"/>
      <c r="B42" s="268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7"/>
        <v>137800</v>
      </c>
      <c r="K42" s="51">
        <v>0</v>
      </c>
      <c r="L42" s="3">
        <f t="shared" si="8"/>
        <v>137800</v>
      </c>
    </row>
    <row r="43" spans="1:12" x14ac:dyDescent="0.3">
      <c r="A43" s="254"/>
      <c r="B43" s="268"/>
      <c r="C43" s="2" t="s">
        <v>41</v>
      </c>
      <c r="D43" s="3">
        <v>582236</v>
      </c>
      <c r="E43" s="3">
        <v>583882</v>
      </c>
      <c r="F43" s="3">
        <v>14</v>
      </c>
      <c r="G43" s="3"/>
      <c r="H43" s="3"/>
      <c r="I43" s="3"/>
      <c r="J43" s="20">
        <f t="shared" si="7"/>
        <v>583896</v>
      </c>
      <c r="K43" s="51">
        <v>265330</v>
      </c>
      <c r="L43" s="3">
        <f t="shared" si="8"/>
        <v>318566</v>
      </c>
    </row>
    <row r="44" spans="1:12" x14ac:dyDescent="0.3">
      <c r="A44" s="254"/>
      <c r="B44" s="268"/>
      <c r="C44" s="2" t="s">
        <v>42</v>
      </c>
      <c r="D44" s="3">
        <v>552000</v>
      </c>
      <c r="E44" s="3">
        <v>552000</v>
      </c>
      <c r="F44" s="3">
        <v>-12560</v>
      </c>
      <c r="G44" s="3"/>
      <c r="H44" s="3"/>
      <c r="I44" s="3"/>
      <c r="J44" s="20">
        <f t="shared" si="7"/>
        <v>539440</v>
      </c>
      <c r="K44" s="51">
        <v>142540</v>
      </c>
      <c r="L44" s="3">
        <f t="shared" si="8"/>
        <v>396900</v>
      </c>
    </row>
    <row r="45" spans="1:12" x14ac:dyDescent="0.3">
      <c r="A45" s="254"/>
      <c r="B45" s="268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7"/>
        <v>30000</v>
      </c>
      <c r="K45" s="51">
        <v>0</v>
      </c>
      <c r="L45" s="3">
        <f t="shared" si="8"/>
        <v>30000</v>
      </c>
    </row>
    <row r="46" spans="1:12" x14ac:dyDescent="0.3">
      <c r="A46" s="254"/>
      <c r="B46" s="268"/>
      <c r="C46" s="2" t="s">
        <v>44</v>
      </c>
      <c r="D46" s="3">
        <v>455834</v>
      </c>
      <c r="E46" s="3">
        <v>455834</v>
      </c>
      <c r="F46" s="3"/>
      <c r="G46" s="3"/>
      <c r="H46" s="3"/>
      <c r="I46" s="3"/>
      <c r="J46" s="20">
        <f t="shared" si="7"/>
        <v>455834</v>
      </c>
      <c r="K46" s="51">
        <v>49033</v>
      </c>
      <c r="L46" s="3">
        <f t="shared" si="8"/>
        <v>406801</v>
      </c>
    </row>
    <row r="47" spans="1:12" x14ac:dyDescent="0.3">
      <c r="A47" s="254"/>
      <c r="B47" s="268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7"/>
        <v>75764</v>
      </c>
      <c r="K47" s="51">
        <v>17520</v>
      </c>
      <c r="L47" s="3">
        <f t="shared" si="8"/>
        <v>58244</v>
      </c>
    </row>
    <row r="48" spans="1:12" x14ac:dyDescent="0.3">
      <c r="A48" s="254"/>
      <c r="B48" s="268"/>
      <c r="C48" s="6" t="s">
        <v>49</v>
      </c>
      <c r="D48" s="7">
        <f>SUM(D34:D47)</f>
        <v>3863610</v>
      </c>
      <c r="E48" s="7">
        <v>3859374</v>
      </c>
      <c r="F48" s="7">
        <f t="shared" ref="F48:L48" si="9">SUM(F34:F47)</f>
        <v>-12560</v>
      </c>
      <c r="G48" s="7">
        <f t="shared" si="9"/>
        <v>0</v>
      </c>
      <c r="H48" s="7">
        <f t="shared" si="9"/>
        <v>0</v>
      </c>
      <c r="I48" s="7">
        <f t="shared" si="9"/>
        <v>0</v>
      </c>
      <c r="J48" s="7">
        <f t="shared" si="9"/>
        <v>3846814</v>
      </c>
      <c r="K48" s="52">
        <f t="shared" si="9"/>
        <v>791516</v>
      </c>
      <c r="L48" s="7">
        <f t="shared" si="9"/>
        <v>3055298</v>
      </c>
    </row>
    <row r="49" spans="1:12" x14ac:dyDescent="0.3">
      <c r="A49" s="254"/>
      <c r="B49" s="268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10">E49+F49+G49+H49+I49</f>
        <v>78740</v>
      </c>
      <c r="K49" s="51">
        <v>0</v>
      </c>
      <c r="L49" s="3">
        <f t="shared" ref="L49:L50" si="11">J49-K49</f>
        <v>78740</v>
      </c>
    </row>
    <row r="50" spans="1:12" x14ac:dyDescent="0.3">
      <c r="A50" s="254"/>
      <c r="B50" s="268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10"/>
        <v>21260</v>
      </c>
      <c r="K50" s="51">
        <v>0</v>
      </c>
      <c r="L50" s="3">
        <f t="shared" si="11"/>
        <v>21260</v>
      </c>
    </row>
    <row r="51" spans="1:12" x14ac:dyDescent="0.3">
      <c r="A51" s="254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2">SUM(F49:F50)</f>
        <v>0</v>
      </c>
      <c r="G51" s="7">
        <f t="shared" si="12"/>
        <v>0</v>
      </c>
      <c r="H51" s="7">
        <f t="shared" si="12"/>
        <v>0</v>
      </c>
      <c r="I51" s="7">
        <f t="shared" si="12"/>
        <v>0</v>
      </c>
      <c r="J51" s="7">
        <f t="shared" si="12"/>
        <v>100000</v>
      </c>
      <c r="K51" s="52">
        <f t="shared" si="12"/>
        <v>0</v>
      </c>
      <c r="L51" s="7">
        <f t="shared" si="12"/>
        <v>100000</v>
      </c>
    </row>
    <row r="52" spans="1:12" x14ac:dyDescent="0.3">
      <c r="A52" s="254"/>
      <c r="B52" s="261" t="s">
        <v>46</v>
      </c>
      <c r="C52" s="2" t="s">
        <v>24</v>
      </c>
      <c r="D52" s="3">
        <v>25123345</v>
      </c>
      <c r="E52" s="3">
        <v>25123345</v>
      </c>
      <c r="F52" s="3"/>
      <c r="G52" s="3"/>
      <c r="H52" s="3"/>
      <c r="I52" s="3"/>
      <c r="J52" s="20">
        <f t="shared" ref="J52:J60" si="13">E52+F52+G52+H52+I52</f>
        <v>25123345</v>
      </c>
      <c r="K52" s="51">
        <v>7496190</v>
      </c>
      <c r="L52" s="3">
        <f t="shared" ref="L52:L60" si="14">J52-K52</f>
        <v>17627155</v>
      </c>
    </row>
    <row r="53" spans="1:12" x14ac:dyDescent="0.3">
      <c r="A53" s="254"/>
      <c r="B53" s="261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3"/>
        <v>2040480</v>
      </c>
      <c r="K53" s="51">
        <v>626691</v>
      </c>
      <c r="L53" s="3">
        <f t="shared" si="14"/>
        <v>1413789</v>
      </c>
    </row>
    <row r="54" spans="1:12" x14ac:dyDescent="0.3">
      <c r="A54" s="254"/>
      <c r="B54" s="261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3"/>
        <v>0</v>
      </c>
      <c r="K54" s="51">
        <v>0</v>
      </c>
      <c r="L54" s="3">
        <f t="shared" si="14"/>
        <v>0</v>
      </c>
    </row>
    <row r="55" spans="1:12" x14ac:dyDescent="0.3">
      <c r="A55" s="254"/>
      <c r="B55" s="261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3"/>
        <v>1025000</v>
      </c>
      <c r="K55" s="51">
        <v>0</v>
      </c>
      <c r="L55" s="3">
        <f t="shared" si="14"/>
        <v>1025000</v>
      </c>
    </row>
    <row r="56" spans="1:12" x14ac:dyDescent="0.3">
      <c r="A56" s="254"/>
      <c r="B56" s="261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3"/>
        <v>60000</v>
      </c>
      <c r="K56" s="51">
        <v>0</v>
      </c>
      <c r="L56" s="3">
        <f t="shared" si="14"/>
        <v>60000</v>
      </c>
    </row>
    <row r="57" spans="1:12" x14ac:dyDescent="0.3">
      <c r="A57" s="254"/>
      <c r="B57" s="261"/>
      <c r="C57" s="2" t="s">
        <v>27</v>
      </c>
      <c r="D57" s="3">
        <v>240000</v>
      </c>
      <c r="E57" s="3">
        <v>240000</v>
      </c>
      <c r="F57" s="3"/>
      <c r="G57" s="3"/>
      <c r="H57" s="3"/>
      <c r="I57" s="3"/>
      <c r="J57" s="20">
        <f t="shared" si="13"/>
        <v>240000</v>
      </c>
      <c r="K57" s="51">
        <v>36774</v>
      </c>
      <c r="L57" s="3">
        <f t="shared" si="14"/>
        <v>203226</v>
      </c>
    </row>
    <row r="58" spans="1:12" x14ac:dyDescent="0.3">
      <c r="A58" s="254"/>
      <c r="B58" s="261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3"/>
        <v>147000</v>
      </c>
      <c r="K58" s="51">
        <v>0</v>
      </c>
      <c r="L58" s="3">
        <f t="shared" si="14"/>
        <v>147000</v>
      </c>
    </row>
    <row r="59" spans="1:12" x14ac:dyDescent="0.3">
      <c r="A59" s="254"/>
      <c r="B59" s="261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3"/>
        <v>553500</v>
      </c>
      <c r="K59" s="51">
        <v>136087</v>
      </c>
      <c r="L59" s="3">
        <f t="shared" si="14"/>
        <v>417413</v>
      </c>
    </row>
    <row r="60" spans="1:12" x14ac:dyDescent="0.3">
      <c r="A60" s="254"/>
      <c r="B60" s="261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3"/>
        <v>100000</v>
      </c>
      <c r="K60" s="51">
        <v>1500</v>
      </c>
      <c r="L60" s="3">
        <f t="shared" si="14"/>
        <v>98500</v>
      </c>
    </row>
    <row r="61" spans="1:12" x14ac:dyDescent="0.3">
      <c r="A61" s="254"/>
      <c r="B61" s="261"/>
      <c r="C61" s="6" t="s">
        <v>53</v>
      </c>
      <c r="D61" s="7">
        <f>SUM(D52:D60)</f>
        <v>29289325</v>
      </c>
      <c r="E61" s="7">
        <v>29289325</v>
      </c>
      <c r="F61" s="7">
        <f t="shared" ref="F61:L61" si="15">SUM(F52:F60)</f>
        <v>0</v>
      </c>
      <c r="G61" s="7">
        <f t="shared" si="15"/>
        <v>0</v>
      </c>
      <c r="H61" s="7">
        <f t="shared" si="15"/>
        <v>0</v>
      </c>
      <c r="I61" s="7">
        <f t="shared" si="15"/>
        <v>0</v>
      </c>
      <c r="J61" s="7">
        <f t="shared" si="15"/>
        <v>29289325</v>
      </c>
      <c r="K61" s="52">
        <f t="shared" si="15"/>
        <v>8297242</v>
      </c>
      <c r="L61" s="7">
        <f t="shared" si="15"/>
        <v>20992083</v>
      </c>
    </row>
    <row r="62" spans="1:12" x14ac:dyDescent="0.3">
      <c r="A62" s="254"/>
      <c r="B62" s="261"/>
      <c r="C62" s="6" t="s">
        <v>31</v>
      </c>
      <c r="D62" s="7">
        <v>5849797</v>
      </c>
      <c r="E62" s="7">
        <v>5849797</v>
      </c>
      <c r="F62" s="7"/>
      <c r="G62" s="7"/>
      <c r="H62" s="7"/>
      <c r="I62" s="7"/>
      <c r="J62" s="21">
        <f t="shared" ref="J62:J75" si="16">E62+F62+G62+H62+I62</f>
        <v>5849797</v>
      </c>
      <c r="K62" s="53">
        <v>1781194</v>
      </c>
      <c r="L62" s="8">
        <f t="shared" ref="L62:L75" si="17">J62-K62</f>
        <v>4068603</v>
      </c>
    </row>
    <row r="63" spans="1:12" x14ac:dyDescent="0.3">
      <c r="A63" s="254"/>
      <c r="B63" s="261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6"/>
        <v>105000</v>
      </c>
      <c r="K63" s="51">
        <v>0</v>
      </c>
      <c r="L63" s="3">
        <f t="shared" si="17"/>
        <v>105000</v>
      </c>
    </row>
    <row r="64" spans="1:12" x14ac:dyDescent="0.3">
      <c r="A64" s="254"/>
      <c r="B64" s="261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6"/>
        <v>700000</v>
      </c>
      <c r="K64" s="51">
        <v>21184</v>
      </c>
      <c r="L64" s="3">
        <f t="shared" si="17"/>
        <v>678816</v>
      </c>
    </row>
    <row r="65" spans="1:12" x14ac:dyDescent="0.3">
      <c r="A65" s="254"/>
      <c r="B65" s="261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6"/>
        <v>213000</v>
      </c>
      <c r="K65" s="51">
        <v>26814</v>
      </c>
      <c r="L65" s="3">
        <f t="shared" si="17"/>
        <v>186186</v>
      </c>
    </row>
    <row r="66" spans="1:12" x14ac:dyDescent="0.3">
      <c r="A66" s="254"/>
      <c r="B66" s="261"/>
      <c r="C66" s="2" t="s">
        <v>35</v>
      </c>
      <c r="D66" s="3">
        <v>288000</v>
      </c>
      <c r="E66" s="3">
        <v>115200</v>
      </c>
      <c r="F66" s="3"/>
      <c r="G66" s="3"/>
      <c r="H66" s="3"/>
      <c r="I66" s="3"/>
      <c r="J66" s="20">
        <f t="shared" si="16"/>
        <v>115200</v>
      </c>
      <c r="K66" s="51">
        <v>36178</v>
      </c>
      <c r="L66" s="3">
        <f t="shared" si="17"/>
        <v>79022</v>
      </c>
    </row>
    <row r="67" spans="1:12" x14ac:dyDescent="0.3">
      <c r="A67" s="254"/>
      <c r="B67" s="261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6"/>
        <v>669540</v>
      </c>
      <c r="K67" s="51">
        <v>249832</v>
      </c>
      <c r="L67" s="3">
        <f t="shared" si="17"/>
        <v>419708</v>
      </c>
    </row>
    <row r="68" spans="1:12" x14ac:dyDescent="0.3">
      <c r="A68" s="254"/>
      <c r="B68" s="261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6"/>
        <v>123000</v>
      </c>
      <c r="K68" s="51">
        <v>0</v>
      </c>
      <c r="L68" s="3">
        <f t="shared" si="17"/>
        <v>123000</v>
      </c>
    </row>
    <row r="69" spans="1:12" x14ac:dyDescent="0.3">
      <c r="A69" s="254"/>
      <c r="B69" s="261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6"/>
        <v>460000</v>
      </c>
      <c r="K69" s="51">
        <v>56899</v>
      </c>
      <c r="L69" s="3">
        <f t="shared" si="17"/>
        <v>403101</v>
      </c>
    </row>
    <row r="70" spans="1:12" x14ac:dyDescent="0.3">
      <c r="A70" s="254"/>
      <c r="B70" s="261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6"/>
        <v>1361904</v>
      </c>
      <c r="K70" s="51">
        <v>188976</v>
      </c>
      <c r="L70" s="3">
        <f t="shared" si="17"/>
        <v>1172928</v>
      </c>
    </row>
    <row r="71" spans="1:12" x14ac:dyDescent="0.3">
      <c r="A71" s="254"/>
      <c r="B71" s="261"/>
      <c r="C71" s="2" t="s">
        <v>41</v>
      </c>
      <c r="D71" s="3">
        <v>982236</v>
      </c>
      <c r="E71" s="3">
        <v>982236</v>
      </c>
      <c r="F71" s="3"/>
      <c r="G71" s="3"/>
      <c r="H71" s="3"/>
      <c r="I71" s="3"/>
      <c r="J71" s="20">
        <f t="shared" si="16"/>
        <v>982236</v>
      </c>
      <c r="K71" s="51">
        <v>238525</v>
      </c>
      <c r="L71" s="3">
        <f t="shared" si="17"/>
        <v>743711</v>
      </c>
    </row>
    <row r="72" spans="1:12" x14ac:dyDescent="0.3">
      <c r="A72" s="254"/>
      <c r="B72" s="261"/>
      <c r="C72" s="2" t="s">
        <v>42</v>
      </c>
      <c r="D72" s="3">
        <v>1200000</v>
      </c>
      <c r="E72" s="3">
        <v>1155940</v>
      </c>
      <c r="F72" s="3"/>
      <c r="G72" s="3"/>
      <c r="H72" s="3"/>
      <c r="I72" s="3"/>
      <c r="J72" s="20">
        <f t="shared" si="16"/>
        <v>1155940</v>
      </c>
      <c r="K72" s="51">
        <v>123200</v>
      </c>
      <c r="L72" s="3">
        <f t="shared" si="17"/>
        <v>1032740</v>
      </c>
    </row>
    <row r="73" spans="1:12" x14ac:dyDescent="0.3">
      <c r="A73" s="254"/>
      <c r="B73" s="261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6"/>
        <v>30000</v>
      </c>
      <c r="K73" s="51">
        <v>0</v>
      </c>
      <c r="L73" s="3">
        <f t="shared" si="17"/>
        <v>30000</v>
      </c>
    </row>
    <row r="74" spans="1:12" x14ac:dyDescent="0.3">
      <c r="A74" s="254"/>
      <c r="B74" s="261"/>
      <c r="C74" s="2" t="s">
        <v>44</v>
      </c>
      <c r="D74" s="3">
        <v>1041508</v>
      </c>
      <c r="E74" s="3">
        <v>981368</v>
      </c>
      <c r="F74" s="3"/>
      <c r="G74" s="3"/>
      <c r="H74" s="3"/>
      <c r="I74" s="3"/>
      <c r="J74" s="20">
        <f t="shared" si="16"/>
        <v>981368</v>
      </c>
      <c r="K74" s="51">
        <v>102883</v>
      </c>
      <c r="L74" s="3">
        <f t="shared" si="17"/>
        <v>878485</v>
      </c>
    </row>
    <row r="75" spans="1:12" x14ac:dyDescent="0.3">
      <c r="A75" s="254"/>
      <c r="B75" s="261"/>
      <c r="C75" s="2" t="s">
        <v>45</v>
      </c>
      <c r="D75" s="3">
        <v>433021</v>
      </c>
      <c r="E75" s="3">
        <v>178003</v>
      </c>
      <c r="F75" s="3">
        <v>-17600</v>
      </c>
      <c r="G75" s="3"/>
      <c r="H75" s="3"/>
      <c r="I75" s="3"/>
      <c r="J75" s="20">
        <f t="shared" si="16"/>
        <v>160403</v>
      </c>
      <c r="K75" s="51">
        <v>0</v>
      </c>
      <c r="L75" s="3">
        <f t="shared" si="17"/>
        <v>160403</v>
      </c>
    </row>
    <row r="76" spans="1:12" x14ac:dyDescent="0.3">
      <c r="A76" s="254"/>
      <c r="B76" s="261"/>
      <c r="C76" s="6" t="s">
        <v>49</v>
      </c>
      <c r="D76" s="7">
        <f>SUM(D63:D75)</f>
        <v>7607209</v>
      </c>
      <c r="E76" s="7">
        <v>7075191</v>
      </c>
      <c r="F76" s="7">
        <f t="shared" ref="F76:L76" si="18">SUM(F63:F75)</f>
        <v>-17600</v>
      </c>
      <c r="G76" s="7">
        <f t="shared" si="18"/>
        <v>0</v>
      </c>
      <c r="H76" s="7">
        <f t="shared" si="18"/>
        <v>0</v>
      </c>
      <c r="I76" s="7">
        <f t="shared" si="18"/>
        <v>0</v>
      </c>
      <c r="J76" s="7">
        <f t="shared" si="18"/>
        <v>7057591</v>
      </c>
      <c r="K76" s="52">
        <f t="shared" si="18"/>
        <v>1044491</v>
      </c>
      <c r="L76" s="7">
        <f t="shared" si="18"/>
        <v>6013100</v>
      </c>
    </row>
    <row r="77" spans="1:12" x14ac:dyDescent="0.3">
      <c r="A77" s="254"/>
      <c r="B77" s="261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9">E77+F77+G77+H77+I77</f>
        <v>78740</v>
      </c>
      <c r="K77" s="51">
        <v>0</v>
      </c>
      <c r="L77" s="3">
        <f t="shared" ref="L77:L78" si="20">J77-K77</f>
        <v>78740</v>
      </c>
    </row>
    <row r="78" spans="1:12" x14ac:dyDescent="0.3">
      <c r="A78" s="254"/>
      <c r="B78" s="261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9"/>
        <v>21260</v>
      </c>
      <c r="K78" s="51">
        <v>0</v>
      </c>
      <c r="L78" s="3">
        <f t="shared" si="20"/>
        <v>21260</v>
      </c>
    </row>
    <row r="79" spans="1:12" x14ac:dyDescent="0.3">
      <c r="A79" s="254"/>
      <c r="B79" s="261"/>
      <c r="C79" s="6" t="s">
        <v>52</v>
      </c>
      <c r="D79" s="7">
        <f>SUM(D77:D78)</f>
        <v>100000</v>
      </c>
      <c r="E79" s="7">
        <v>100000</v>
      </c>
      <c r="F79" s="7">
        <f t="shared" ref="F79:L79" si="21">SUM(F77:F78)</f>
        <v>0</v>
      </c>
      <c r="G79" s="7">
        <f t="shared" si="21"/>
        <v>0</v>
      </c>
      <c r="H79" s="7">
        <f t="shared" si="21"/>
        <v>0</v>
      </c>
      <c r="I79" s="7">
        <f t="shared" si="21"/>
        <v>0</v>
      </c>
      <c r="J79" s="7">
        <f t="shared" si="21"/>
        <v>100000</v>
      </c>
      <c r="K79" s="52">
        <f t="shared" si="21"/>
        <v>0</v>
      </c>
      <c r="L79" s="7">
        <f t="shared" si="21"/>
        <v>100000</v>
      </c>
    </row>
    <row r="80" spans="1:12" x14ac:dyDescent="0.3">
      <c r="A80" s="281" t="s">
        <v>58</v>
      </c>
      <c r="B80" s="280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2">E80+F80+G80+H80+I80</f>
        <v>410400</v>
      </c>
      <c r="K80" s="51">
        <v>141000</v>
      </c>
      <c r="L80" s="3">
        <f t="shared" ref="L80:L87" si="23">J80-K80</f>
        <v>269400</v>
      </c>
    </row>
    <row r="81" spans="1:12" x14ac:dyDescent="0.3">
      <c r="A81" s="282"/>
      <c r="B81" s="28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2"/>
        <v>76266</v>
      </c>
      <c r="K81" s="51">
        <v>27495</v>
      </c>
      <c r="L81" s="3">
        <f t="shared" si="23"/>
        <v>48771</v>
      </c>
    </row>
    <row r="82" spans="1:12" x14ac:dyDescent="0.3">
      <c r="A82" s="281" t="s">
        <v>59</v>
      </c>
      <c r="B82" s="280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2"/>
        <v>603600</v>
      </c>
      <c r="K82" s="51">
        <v>129800</v>
      </c>
      <c r="L82" s="3">
        <f t="shared" si="23"/>
        <v>473800</v>
      </c>
    </row>
    <row r="83" spans="1:12" x14ac:dyDescent="0.3">
      <c r="A83" s="282"/>
      <c r="B83" s="28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2"/>
        <v>112169</v>
      </c>
      <c r="K83" s="51">
        <v>25310</v>
      </c>
      <c r="L83" s="3">
        <f t="shared" si="23"/>
        <v>86859</v>
      </c>
    </row>
    <row r="84" spans="1:12" x14ac:dyDescent="0.3">
      <c r="A84" s="281" t="s">
        <v>60</v>
      </c>
      <c r="B84" s="280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2"/>
        <v>10676226</v>
      </c>
      <c r="K84" s="51">
        <v>3414236</v>
      </c>
      <c r="L84" s="3">
        <f t="shared" si="23"/>
        <v>7261990</v>
      </c>
    </row>
    <row r="85" spans="1:12" x14ac:dyDescent="0.3">
      <c r="A85" s="282"/>
      <c r="B85" s="28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2"/>
        <v>1989265</v>
      </c>
      <c r="K85" s="51">
        <v>665777</v>
      </c>
      <c r="L85" s="3">
        <f t="shared" si="23"/>
        <v>1323488</v>
      </c>
    </row>
    <row r="86" spans="1:12" x14ac:dyDescent="0.3">
      <c r="A86" s="281" t="s">
        <v>61</v>
      </c>
      <c r="B86" s="280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2"/>
        <v>8397674</v>
      </c>
      <c r="K86" s="51">
        <v>2503664</v>
      </c>
      <c r="L86" s="3">
        <f t="shared" si="23"/>
        <v>5894010</v>
      </c>
    </row>
    <row r="87" spans="1:12" x14ac:dyDescent="0.3">
      <c r="A87" s="282"/>
      <c r="B87" s="28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2"/>
        <v>1563353</v>
      </c>
      <c r="K87" s="51">
        <v>488213</v>
      </c>
      <c r="L87" s="3">
        <f t="shared" si="23"/>
        <v>1075140</v>
      </c>
    </row>
    <row r="88" spans="1:12" ht="25.5" customHeight="1" x14ac:dyDescent="0.3">
      <c r="A88" s="257" t="s">
        <v>76</v>
      </c>
      <c r="B88" s="258"/>
      <c r="C88" s="259"/>
      <c r="D88" s="22">
        <f t="shared" ref="D88:E88" si="24">SUM(D32+D33+D48+D51+D61+D62+D76+D79+D80+D81+D82+D83+D84+D85+D86+D87)</f>
        <v>118207303</v>
      </c>
      <c r="E88" s="22">
        <f t="shared" si="24"/>
        <v>117671049</v>
      </c>
      <c r="F88" s="22">
        <f t="shared" ref="F88:L88" si="25">SUM(F32+F33+F48+F51+F61+F62+F76+F79+F80+F81+F82+F83+F84+F85+F86+F87)</f>
        <v>-30160</v>
      </c>
      <c r="G88" s="22">
        <f t="shared" si="25"/>
        <v>0</v>
      </c>
      <c r="H88" s="22">
        <f t="shared" si="25"/>
        <v>0</v>
      </c>
      <c r="I88" s="22">
        <f t="shared" si="25"/>
        <v>0</v>
      </c>
      <c r="J88" s="22">
        <f t="shared" si="25"/>
        <v>117640889</v>
      </c>
      <c r="K88" s="54">
        <f t="shared" si="25"/>
        <v>32279389</v>
      </c>
      <c r="L88" s="22">
        <f t="shared" si="25"/>
        <v>85361500</v>
      </c>
    </row>
    <row r="89" spans="1:12" x14ac:dyDescent="0.3">
      <c r="A89" s="254" t="s">
        <v>12</v>
      </c>
      <c r="B89" s="261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6">E89+F89+G89+H89+I89</f>
        <v>4811583</v>
      </c>
      <c r="K89" s="51">
        <v>1530999</v>
      </c>
      <c r="L89" s="3">
        <f t="shared" ref="L89:L95" si="27">J89-K89</f>
        <v>3280584</v>
      </c>
    </row>
    <row r="90" spans="1:12" x14ac:dyDescent="0.3">
      <c r="A90" s="254"/>
      <c r="B90" s="261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6"/>
        <v>200000</v>
      </c>
      <c r="K90" s="51">
        <v>0</v>
      </c>
      <c r="L90" s="3">
        <f t="shared" si="27"/>
        <v>200000</v>
      </c>
    </row>
    <row r="91" spans="1:12" x14ac:dyDescent="0.3">
      <c r="A91" s="254"/>
      <c r="B91" s="261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6"/>
        <v>10000</v>
      </c>
      <c r="K91" s="51">
        <v>0</v>
      </c>
      <c r="L91" s="3">
        <f t="shared" si="27"/>
        <v>10000</v>
      </c>
    </row>
    <row r="92" spans="1:12" x14ac:dyDescent="0.3">
      <c r="A92" s="254"/>
      <c r="B92" s="261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6"/>
        <v>198000</v>
      </c>
      <c r="K92" s="51">
        <v>32400</v>
      </c>
      <c r="L92" s="3">
        <f t="shared" si="27"/>
        <v>165600</v>
      </c>
    </row>
    <row r="93" spans="1:12" x14ac:dyDescent="0.3">
      <c r="A93" s="254"/>
      <c r="B93" s="261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6"/>
        <v>24000</v>
      </c>
      <c r="K93" s="51">
        <v>0</v>
      </c>
      <c r="L93" s="3">
        <f t="shared" si="27"/>
        <v>24000</v>
      </c>
    </row>
    <row r="94" spans="1:12" x14ac:dyDescent="0.3">
      <c r="A94" s="254"/>
      <c r="B94" s="261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6"/>
        <v>75000</v>
      </c>
      <c r="K94" s="51">
        <v>0</v>
      </c>
      <c r="L94" s="3">
        <f t="shared" si="27"/>
        <v>75000</v>
      </c>
    </row>
    <row r="95" spans="1:12" x14ac:dyDescent="0.3">
      <c r="A95" s="254"/>
      <c r="B95" s="261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6"/>
        <v>0</v>
      </c>
      <c r="K95" s="51">
        <v>0</v>
      </c>
      <c r="L95" s="3">
        <f t="shared" si="27"/>
        <v>0</v>
      </c>
    </row>
    <row r="96" spans="1:12" x14ac:dyDescent="0.3">
      <c r="A96" s="254"/>
      <c r="B96" s="261"/>
      <c r="C96" s="6" t="s">
        <v>53</v>
      </c>
      <c r="D96" s="7">
        <f>SUM(D89:D95)</f>
        <v>5318583</v>
      </c>
      <c r="E96" s="7">
        <v>5318583</v>
      </c>
      <c r="F96" s="7">
        <f t="shared" ref="F96:L96" si="28">SUM(F89:F95)</f>
        <v>0</v>
      </c>
      <c r="G96" s="7">
        <f t="shared" si="28"/>
        <v>0</v>
      </c>
      <c r="H96" s="7">
        <f t="shared" si="28"/>
        <v>0</v>
      </c>
      <c r="I96" s="7">
        <f t="shared" si="28"/>
        <v>0</v>
      </c>
      <c r="J96" s="7">
        <f t="shared" si="28"/>
        <v>5318583</v>
      </c>
      <c r="K96" s="52">
        <f t="shared" si="28"/>
        <v>1563399</v>
      </c>
      <c r="L96" s="7">
        <f t="shared" si="28"/>
        <v>3755184</v>
      </c>
    </row>
    <row r="97" spans="1:12" x14ac:dyDescent="0.3">
      <c r="A97" s="254"/>
      <c r="B97" s="261"/>
      <c r="C97" s="6" t="s">
        <v>31</v>
      </c>
      <c r="D97" s="7">
        <v>1035556</v>
      </c>
      <c r="E97" s="7">
        <v>1035556</v>
      </c>
      <c r="F97" s="7"/>
      <c r="G97" s="7"/>
      <c r="H97" s="7"/>
      <c r="I97" s="7"/>
      <c r="J97" s="21">
        <f t="shared" ref="J97:J107" si="29">E97+F97+G97+H97+I97</f>
        <v>1035556</v>
      </c>
      <c r="K97" s="53">
        <v>322089</v>
      </c>
      <c r="L97" s="8">
        <f t="shared" ref="L97:L107" si="30">J97-K97</f>
        <v>713467</v>
      </c>
    </row>
    <row r="98" spans="1:12" x14ac:dyDescent="0.3">
      <c r="A98" s="254"/>
      <c r="B98" s="261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9"/>
        <v>100000</v>
      </c>
      <c r="K98" s="51">
        <v>0</v>
      </c>
      <c r="L98" s="3">
        <f t="shared" si="30"/>
        <v>100000</v>
      </c>
    </row>
    <row r="99" spans="1:12" x14ac:dyDescent="0.3">
      <c r="A99" s="254"/>
      <c r="B99" s="261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9"/>
        <v>100000</v>
      </c>
      <c r="K99" s="51">
        <v>0</v>
      </c>
      <c r="L99" s="3">
        <f t="shared" si="30"/>
        <v>100000</v>
      </c>
    </row>
    <row r="100" spans="1:12" x14ac:dyDescent="0.3">
      <c r="A100" s="254"/>
      <c r="B100" s="261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9"/>
        <v>210000</v>
      </c>
      <c r="K100" s="51">
        <v>0</v>
      </c>
      <c r="L100" s="3">
        <f t="shared" si="30"/>
        <v>210000</v>
      </c>
    </row>
    <row r="101" spans="1:12" x14ac:dyDescent="0.3">
      <c r="A101" s="254"/>
      <c r="B101" s="261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9"/>
        <v>110000</v>
      </c>
      <c r="K101" s="51">
        <v>0</v>
      </c>
      <c r="L101" s="3">
        <f t="shared" si="30"/>
        <v>110000</v>
      </c>
    </row>
    <row r="102" spans="1:12" x14ac:dyDescent="0.3">
      <c r="A102" s="254"/>
      <c r="B102" s="261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9"/>
        <v>500000</v>
      </c>
      <c r="K102" s="51">
        <v>188625</v>
      </c>
      <c r="L102" s="3">
        <f t="shared" si="30"/>
        <v>311375</v>
      </c>
    </row>
    <row r="103" spans="1:12" x14ac:dyDescent="0.3">
      <c r="A103" s="254"/>
      <c r="B103" s="261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9"/>
        <v>140000</v>
      </c>
      <c r="K103" s="51">
        <v>0</v>
      </c>
      <c r="L103" s="3">
        <f t="shared" si="30"/>
        <v>140000</v>
      </c>
    </row>
    <row r="104" spans="1:12" x14ac:dyDescent="0.3">
      <c r="A104" s="254"/>
      <c r="B104" s="261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9"/>
        <v>16800</v>
      </c>
      <c r="K104" s="51">
        <v>0</v>
      </c>
      <c r="L104" s="3">
        <f t="shared" si="30"/>
        <v>16800</v>
      </c>
    </row>
    <row r="105" spans="1:12" x14ac:dyDescent="0.3">
      <c r="A105" s="254"/>
      <c r="B105" s="261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9"/>
        <v>80000</v>
      </c>
      <c r="K105" s="51">
        <v>26800</v>
      </c>
      <c r="L105" s="3">
        <f t="shared" si="30"/>
        <v>53200</v>
      </c>
    </row>
    <row r="106" spans="1:12" x14ac:dyDescent="0.3">
      <c r="A106" s="254"/>
      <c r="B106" s="261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9"/>
        <v>240000</v>
      </c>
      <c r="K106" s="51">
        <v>54250</v>
      </c>
      <c r="L106" s="3">
        <f t="shared" si="30"/>
        <v>185750</v>
      </c>
    </row>
    <row r="107" spans="1:12" x14ac:dyDescent="0.3">
      <c r="A107" s="254"/>
      <c r="B107" s="261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9"/>
        <v>200600</v>
      </c>
      <c r="K107" s="51">
        <v>16667</v>
      </c>
      <c r="L107" s="3">
        <f t="shared" si="30"/>
        <v>183933</v>
      </c>
    </row>
    <row r="108" spans="1:12" x14ac:dyDescent="0.3">
      <c r="A108" s="254"/>
      <c r="B108" s="261"/>
      <c r="C108" s="6" t="s">
        <v>49</v>
      </c>
      <c r="D108" s="7">
        <f>SUM(D98:D107)</f>
        <v>1697400</v>
      </c>
      <c r="E108" s="7">
        <v>1697400</v>
      </c>
      <c r="F108" s="7">
        <f t="shared" ref="F108:L108" si="31">SUM(F98:F107)</f>
        <v>0</v>
      </c>
      <c r="G108" s="7">
        <f t="shared" si="31"/>
        <v>0</v>
      </c>
      <c r="H108" s="7">
        <f t="shared" si="31"/>
        <v>0</v>
      </c>
      <c r="I108" s="7">
        <f t="shared" si="31"/>
        <v>0</v>
      </c>
      <c r="J108" s="7">
        <f t="shared" si="31"/>
        <v>1697400</v>
      </c>
      <c r="K108" s="52">
        <f t="shared" si="31"/>
        <v>286342</v>
      </c>
      <c r="L108" s="7">
        <f t="shared" si="31"/>
        <v>1411058</v>
      </c>
    </row>
    <row r="109" spans="1:12" x14ac:dyDescent="0.3">
      <c r="A109" s="262" t="s">
        <v>62</v>
      </c>
      <c r="B109" s="264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2">E109+F109+G109+H109+I109</f>
        <v>111600</v>
      </c>
      <c r="K109" s="51">
        <v>25200</v>
      </c>
      <c r="L109" s="3">
        <f t="shared" ref="L109:L112" si="33">J109-K109</f>
        <v>86400</v>
      </c>
    </row>
    <row r="110" spans="1:12" x14ac:dyDescent="0.3">
      <c r="A110" s="263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2"/>
        <v>20739</v>
      </c>
      <c r="K110" s="51">
        <v>4912</v>
      </c>
      <c r="L110" s="3">
        <f t="shared" si="33"/>
        <v>15827</v>
      </c>
    </row>
    <row r="111" spans="1:12" x14ac:dyDescent="0.3">
      <c r="A111" s="262" t="s">
        <v>63</v>
      </c>
      <c r="B111" s="264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2"/>
        <v>1460272</v>
      </c>
      <c r="K111" s="51">
        <v>497454</v>
      </c>
      <c r="L111" s="3">
        <f t="shared" si="33"/>
        <v>962818</v>
      </c>
    </row>
    <row r="112" spans="1:12" x14ac:dyDescent="0.3">
      <c r="A112" s="263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2"/>
        <v>272168</v>
      </c>
      <c r="K112" s="51">
        <v>97003</v>
      </c>
      <c r="L112" s="3">
        <f t="shared" si="33"/>
        <v>175165</v>
      </c>
    </row>
    <row r="113" spans="1:12" x14ac:dyDescent="0.3">
      <c r="A113" s="257" t="s">
        <v>77</v>
      </c>
      <c r="B113" s="258"/>
      <c r="C113" s="259"/>
      <c r="D113" s="22">
        <f>SUM(D96+D97+D108+D109+D110+D111+D112)</f>
        <v>9916318</v>
      </c>
      <c r="E113" s="22">
        <f>SUM(E96+E97+E108+E109+E110+E111+E112)</f>
        <v>9916318</v>
      </c>
      <c r="F113" s="22">
        <f t="shared" ref="F113:L113" si="34">SUM(F96+F97+F108+F109+F110+F111+F112)</f>
        <v>0</v>
      </c>
      <c r="G113" s="22">
        <f t="shared" si="34"/>
        <v>0</v>
      </c>
      <c r="H113" s="22">
        <f t="shared" si="34"/>
        <v>0</v>
      </c>
      <c r="I113" s="22">
        <f t="shared" si="34"/>
        <v>0</v>
      </c>
      <c r="J113" s="22">
        <f t="shared" si="34"/>
        <v>9916318</v>
      </c>
      <c r="K113" s="54">
        <f t="shared" si="34"/>
        <v>2796399</v>
      </c>
      <c r="L113" s="22">
        <f t="shared" si="34"/>
        <v>7119919</v>
      </c>
    </row>
    <row r="114" spans="1:12" x14ac:dyDescent="0.3">
      <c r="A114" s="254" t="s">
        <v>13</v>
      </c>
      <c r="B114" s="261" t="s">
        <v>23</v>
      </c>
      <c r="C114" s="2" t="s">
        <v>24</v>
      </c>
      <c r="D114" s="3">
        <v>4871210</v>
      </c>
      <c r="E114" s="3">
        <v>4871210</v>
      </c>
      <c r="F114" s="3"/>
      <c r="G114" s="3"/>
      <c r="H114" s="3"/>
      <c r="I114" s="3"/>
      <c r="J114" s="20">
        <f t="shared" ref="J114:J119" si="35">E114+F114+G114+H114+I114</f>
        <v>4871210</v>
      </c>
      <c r="K114" s="51">
        <v>1573501</v>
      </c>
      <c r="L114" s="3">
        <f t="shared" ref="L114:L119" si="36">J114-K114</f>
        <v>3297709</v>
      </c>
    </row>
    <row r="115" spans="1:12" x14ac:dyDescent="0.3">
      <c r="A115" s="254"/>
      <c r="B115" s="261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5"/>
        <v>200000</v>
      </c>
      <c r="K115" s="51">
        <v>0</v>
      </c>
      <c r="L115" s="3">
        <f t="shared" si="36"/>
        <v>200000</v>
      </c>
    </row>
    <row r="116" spans="1:12" x14ac:dyDescent="0.3">
      <c r="A116" s="254"/>
      <c r="B116" s="261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5"/>
        <v>10000</v>
      </c>
      <c r="K116" s="51">
        <v>0</v>
      </c>
      <c r="L116" s="3">
        <f t="shared" si="36"/>
        <v>10000</v>
      </c>
    </row>
    <row r="117" spans="1:12" x14ac:dyDescent="0.3">
      <c r="A117" s="254"/>
      <c r="B117" s="261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5"/>
        <v>24000</v>
      </c>
      <c r="K117" s="51">
        <v>0</v>
      </c>
      <c r="L117" s="3">
        <f t="shared" si="36"/>
        <v>24000</v>
      </c>
    </row>
    <row r="118" spans="1:12" x14ac:dyDescent="0.3">
      <c r="A118" s="254"/>
      <c r="B118" s="261"/>
      <c r="C118" s="2" t="s">
        <v>29</v>
      </c>
      <c r="D118" s="3">
        <v>75000</v>
      </c>
      <c r="E118" s="3">
        <v>75000</v>
      </c>
      <c r="F118" s="3"/>
      <c r="G118" s="3"/>
      <c r="H118" s="3"/>
      <c r="I118" s="3"/>
      <c r="J118" s="20">
        <f t="shared" si="35"/>
        <v>75000</v>
      </c>
      <c r="K118" s="51">
        <v>0</v>
      </c>
      <c r="L118" s="3">
        <f t="shared" si="36"/>
        <v>75000</v>
      </c>
    </row>
    <row r="119" spans="1:12" x14ac:dyDescent="0.3">
      <c r="A119" s="254"/>
      <c r="B119" s="261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5"/>
        <v>0</v>
      </c>
      <c r="K119" s="51">
        <v>0</v>
      </c>
      <c r="L119" s="3">
        <f t="shared" si="36"/>
        <v>0</v>
      </c>
    </row>
    <row r="120" spans="1:12" x14ac:dyDescent="0.3">
      <c r="A120" s="254"/>
      <c r="B120" s="261"/>
      <c r="C120" s="6" t="s">
        <v>53</v>
      </c>
      <c r="D120" s="7">
        <f>SUM(D114:D119)</f>
        <v>5180210</v>
      </c>
      <c r="E120" s="7">
        <f>SUM(E114:E119)</f>
        <v>5180210</v>
      </c>
      <c r="F120" s="7">
        <f t="shared" ref="F120:L120" si="37">SUM(F114:F119)</f>
        <v>0</v>
      </c>
      <c r="G120" s="7">
        <f t="shared" si="37"/>
        <v>0</v>
      </c>
      <c r="H120" s="7">
        <f t="shared" si="37"/>
        <v>0</v>
      </c>
      <c r="I120" s="7">
        <f t="shared" si="37"/>
        <v>0</v>
      </c>
      <c r="J120" s="7">
        <f t="shared" si="37"/>
        <v>5180210</v>
      </c>
      <c r="K120" s="52">
        <f t="shared" si="37"/>
        <v>1573501</v>
      </c>
      <c r="L120" s="7">
        <f t="shared" si="37"/>
        <v>3606709</v>
      </c>
    </row>
    <row r="121" spans="1:12" x14ac:dyDescent="0.3">
      <c r="A121" s="254"/>
      <c r="B121" s="261"/>
      <c r="C121" s="6" t="s">
        <v>31</v>
      </c>
      <c r="D121" s="7">
        <v>1046402</v>
      </c>
      <c r="E121" s="7">
        <v>1046402</v>
      </c>
      <c r="F121" s="7"/>
      <c r="G121" s="7"/>
      <c r="H121" s="7"/>
      <c r="I121" s="7"/>
      <c r="J121" s="21">
        <f t="shared" ref="J121:J129" si="38">E121+F121+G121+H121+I121</f>
        <v>1046402</v>
      </c>
      <c r="K121" s="53">
        <v>330374</v>
      </c>
      <c r="L121" s="8">
        <f t="shared" ref="L121:L129" si="39">J121-K121</f>
        <v>716028</v>
      </c>
    </row>
    <row r="122" spans="1:12" x14ac:dyDescent="0.3">
      <c r="A122" s="254"/>
      <c r="B122" s="261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8"/>
        <v>50000</v>
      </c>
      <c r="K122" s="51">
        <v>0</v>
      </c>
      <c r="L122" s="3">
        <f t="shared" si="39"/>
        <v>50000</v>
      </c>
    </row>
    <row r="123" spans="1:12" x14ac:dyDescent="0.3">
      <c r="A123" s="254"/>
      <c r="B123" s="261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8"/>
        <v>100000</v>
      </c>
      <c r="K123" s="51">
        <v>0</v>
      </c>
      <c r="L123" s="3">
        <f t="shared" si="39"/>
        <v>100000</v>
      </c>
    </row>
    <row r="124" spans="1:12" x14ac:dyDescent="0.3">
      <c r="A124" s="254"/>
      <c r="B124" s="261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8"/>
        <v>116000</v>
      </c>
      <c r="K124" s="51">
        <v>0</v>
      </c>
      <c r="L124" s="3">
        <f t="shared" si="39"/>
        <v>116000</v>
      </c>
    </row>
    <row r="125" spans="1:12" x14ac:dyDescent="0.3">
      <c r="A125" s="254"/>
      <c r="B125" s="261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8"/>
        <v>50000</v>
      </c>
      <c r="K125" s="51">
        <v>0</v>
      </c>
      <c r="L125" s="3">
        <f t="shared" si="39"/>
        <v>50000</v>
      </c>
    </row>
    <row r="126" spans="1:12" x14ac:dyDescent="0.3">
      <c r="A126" s="254"/>
      <c r="B126" s="261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8"/>
        <v>16800</v>
      </c>
      <c r="K126" s="51">
        <v>0</v>
      </c>
      <c r="L126" s="3">
        <f t="shared" si="39"/>
        <v>16800</v>
      </c>
    </row>
    <row r="127" spans="1:12" x14ac:dyDescent="0.3">
      <c r="A127" s="254"/>
      <c r="B127" s="261"/>
      <c r="C127" s="2" t="s">
        <v>41</v>
      </c>
      <c r="D127" s="3">
        <v>0</v>
      </c>
      <c r="E127" s="3">
        <v>34000</v>
      </c>
      <c r="F127" s="3"/>
      <c r="G127" s="3"/>
      <c r="H127" s="3"/>
      <c r="I127" s="3"/>
      <c r="J127" s="20">
        <f t="shared" si="38"/>
        <v>34000</v>
      </c>
      <c r="K127" s="51">
        <v>26800</v>
      </c>
      <c r="L127" s="3">
        <f t="shared" si="39"/>
        <v>7200</v>
      </c>
    </row>
    <row r="128" spans="1:12" x14ac:dyDescent="0.3">
      <c r="A128" s="254"/>
      <c r="B128" s="261"/>
      <c r="C128" s="2" t="s">
        <v>42</v>
      </c>
      <c r="D128" s="3">
        <v>240000</v>
      </c>
      <c r="E128" s="3">
        <v>240000</v>
      </c>
      <c r="F128" s="3"/>
      <c r="G128" s="3"/>
      <c r="H128" s="3"/>
      <c r="I128" s="3"/>
      <c r="J128" s="20">
        <f t="shared" si="38"/>
        <v>240000</v>
      </c>
      <c r="K128" s="51">
        <v>45195</v>
      </c>
      <c r="L128" s="3">
        <f t="shared" si="39"/>
        <v>194805</v>
      </c>
    </row>
    <row r="129" spans="1:12" x14ac:dyDescent="0.3">
      <c r="A129" s="254"/>
      <c r="B129" s="261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8"/>
        <v>94500</v>
      </c>
      <c r="K129" s="51">
        <v>7236</v>
      </c>
      <c r="L129" s="3">
        <f t="shared" si="39"/>
        <v>87264</v>
      </c>
    </row>
    <row r="130" spans="1:12" x14ac:dyDescent="0.3">
      <c r="A130" s="254"/>
      <c r="B130" s="261"/>
      <c r="C130" s="6" t="s">
        <v>49</v>
      </c>
      <c r="D130" s="7">
        <f>SUM(D122:D129)</f>
        <v>701300</v>
      </c>
      <c r="E130" s="7">
        <f t="shared" ref="E130:I130" si="40">SUM(E122:E129)</f>
        <v>701300</v>
      </c>
      <c r="F130" s="7">
        <f t="shared" si="40"/>
        <v>0</v>
      </c>
      <c r="G130" s="7">
        <f t="shared" si="40"/>
        <v>0</v>
      </c>
      <c r="H130" s="7">
        <f t="shared" si="40"/>
        <v>0</v>
      </c>
      <c r="I130" s="7">
        <f t="shared" si="40"/>
        <v>0</v>
      </c>
      <c r="J130" s="7">
        <f t="shared" ref="J130:L130" si="41">SUM(J122:J129)</f>
        <v>701300</v>
      </c>
      <c r="K130" s="52">
        <f t="shared" si="41"/>
        <v>79231</v>
      </c>
      <c r="L130" s="7">
        <f t="shared" si="41"/>
        <v>622069</v>
      </c>
    </row>
    <row r="131" spans="1:12" x14ac:dyDescent="0.3">
      <c r="A131" s="262" t="s">
        <v>64</v>
      </c>
      <c r="B131" s="264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2">E131+F131+G131+H131+I131</f>
        <v>39600</v>
      </c>
      <c r="K131" s="51">
        <v>13200</v>
      </c>
      <c r="L131" s="3">
        <f t="shared" ref="L131:L134" si="43">J131-K131</f>
        <v>26400</v>
      </c>
    </row>
    <row r="132" spans="1:12" x14ac:dyDescent="0.3">
      <c r="A132" s="263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2"/>
        <v>7359</v>
      </c>
      <c r="K132" s="51">
        <v>2575</v>
      </c>
      <c r="L132" s="3">
        <f t="shared" si="43"/>
        <v>4784</v>
      </c>
    </row>
    <row r="133" spans="1:12" x14ac:dyDescent="0.3">
      <c r="A133" s="262" t="s">
        <v>65</v>
      </c>
      <c r="B133" s="264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2"/>
        <v>1357158</v>
      </c>
      <c r="K133" s="51">
        <v>452744</v>
      </c>
      <c r="L133" s="3">
        <f t="shared" si="43"/>
        <v>904414</v>
      </c>
    </row>
    <row r="134" spans="1:12" x14ac:dyDescent="0.3">
      <c r="A134" s="263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2"/>
        <v>253327</v>
      </c>
      <c r="K134" s="51">
        <v>88285</v>
      </c>
      <c r="L134" s="3">
        <f t="shared" si="43"/>
        <v>165042</v>
      </c>
    </row>
    <row r="135" spans="1:12" x14ac:dyDescent="0.3">
      <c r="A135" s="257" t="s">
        <v>78</v>
      </c>
      <c r="B135" s="258"/>
      <c r="C135" s="259"/>
      <c r="D135" s="22">
        <f>SUM(D120+D121+D130+D131+D132+D133+D134)</f>
        <v>8585356</v>
      </c>
      <c r="E135" s="22">
        <f t="shared" ref="E135:I135" si="44">SUM(E120+E121+E130+E131+E132+E133+E134)</f>
        <v>8585356</v>
      </c>
      <c r="F135" s="22">
        <f t="shared" si="44"/>
        <v>0</v>
      </c>
      <c r="G135" s="22">
        <f t="shared" si="44"/>
        <v>0</v>
      </c>
      <c r="H135" s="22">
        <f t="shared" si="44"/>
        <v>0</v>
      </c>
      <c r="I135" s="22">
        <f t="shared" si="44"/>
        <v>0</v>
      </c>
      <c r="J135" s="22">
        <f t="shared" ref="J135:L135" si="45">SUM(J120+J121+J130+J131+J132+J133+J134)</f>
        <v>8585356</v>
      </c>
      <c r="K135" s="54">
        <f t="shared" si="45"/>
        <v>2539910</v>
      </c>
      <c r="L135" s="22">
        <f t="shared" si="45"/>
        <v>6045446</v>
      </c>
    </row>
    <row r="136" spans="1:12" x14ac:dyDescent="0.3">
      <c r="A136" s="254" t="s">
        <v>14</v>
      </c>
      <c r="B136" s="261" t="s">
        <v>23</v>
      </c>
      <c r="C136" s="2" t="s">
        <v>24</v>
      </c>
      <c r="D136" s="3">
        <v>4756797</v>
      </c>
      <c r="E136" s="3">
        <v>4708515</v>
      </c>
      <c r="F136" s="3">
        <v>-29507</v>
      </c>
      <c r="G136" s="3"/>
      <c r="H136" s="3"/>
      <c r="I136" s="3"/>
      <c r="J136" s="20">
        <f t="shared" ref="J136:J142" si="46">E136+F136+G136+H136+I136</f>
        <v>4679008</v>
      </c>
      <c r="K136" s="51">
        <v>1432094</v>
      </c>
      <c r="L136" s="3">
        <f t="shared" ref="L136:L142" si="47">J136-K136</f>
        <v>3246914</v>
      </c>
    </row>
    <row r="137" spans="1:12" x14ac:dyDescent="0.3">
      <c r="A137" s="254"/>
      <c r="B137" s="261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6"/>
        <v>200000</v>
      </c>
      <c r="K137" s="51">
        <v>0</v>
      </c>
      <c r="L137" s="3">
        <f t="shared" si="47"/>
        <v>200000</v>
      </c>
    </row>
    <row r="138" spans="1:12" x14ac:dyDescent="0.3">
      <c r="A138" s="254"/>
      <c r="B138" s="261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6"/>
        <v>10000</v>
      </c>
      <c r="K138" s="51">
        <v>0</v>
      </c>
      <c r="L138" s="3">
        <f t="shared" si="47"/>
        <v>10000</v>
      </c>
    </row>
    <row r="139" spans="1:12" x14ac:dyDescent="0.3">
      <c r="A139" s="254"/>
      <c r="B139" s="261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6"/>
        <v>255000</v>
      </c>
      <c r="K139" s="51">
        <v>50142</v>
      </c>
      <c r="L139" s="3">
        <f t="shared" si="47"/>
        <v>204858</v>
      </c>
    </row>
    <row r="140" spans="1:12" x14ac:dyDescent="0.3">
      <c r="A140" s="254"/>
      <c r="B140" s="261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6"/>
        <v>24000</v>
      </c>
      <c r="K140" s="51">
        <v>0</v>
      </c>
      <c r="L140" s="3">
        <f t="shared" si="47"/>
        <v>24000</v>
      </c>
    </row>
    <row r="141" spans="1:12" x14ac:dyDescent="0.3">
      <c r="A141" s="254"/>
      <c r="B141" s="261"/>
      <c r="C141" s="2" t="s">
        <v>29</v>
      </c>
      <c r="D141" s="3">
        <v>0</v>
      </c>
      <c r="E141" s="3">
        <v>48282</v>
      </c>
      <c r="F141" s="3">
        <v>29507</v>
      </c>
      <c r="G141" s="3"/>
      <c r="H141" s="3"/>
      <c r="I141" s="3"/>
      <c r="J141" s="20">
        <f t="shared" si="46"/>
        <v>77789</v>
      </c>
      <c r="K141" s="51">
        <v>77789</v>
      </c>
      <c r="L141" s="3">
        <f t="shared" si="47"/>
        <v>0</v>
      </c>
    </row>
    <row r="142" spans="1:12" x14ac:dyDescent="0.3">
      <c r="A142" s="254"/>
      <c r="B142" s="261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6"/>
        <v>0</v>
      </c>
      <c r="K142" s="51">
        <v>0</v>
      </c>
      <c r="L142" s="3">
        <f t="shared" si="47"/>
        <v>0</v>
      </c>
    </row>
    <row r="143" spans="1:12" x14ac:dyDescent="0.3">
      <c r="A143" s="254"/>
      <c r="B143" s="261"/>
      <c r="C143" s="6" t="s">
        <v>53</v>
      </c>
      <c r="D143" s="7">
        <f>SUM(D136:D142)</f>
        <v>5245797</v>
      </c>
      <c r="E143" s="7">
        <f t="shared" ref="E143:K143" si="48">SUM(E136:E142)</f>
        <v>5245797</v>
      </c>
      <c r="F143" s="7">
        <f t="shared" si="48"/>
        <v>0</v>
      </c>
      <c r="G143" s="7">
        <f t="shared" si="48"/>
        <v>0</v>
      </c>
      <c r="H143" s="7">
        <f t="shared" si="48"/>
        <v>0</v>
      </c>
      <c r="I143" s="7">
        <f t="shared" si="48"/>
        <v>0</v>
      </c>
      <c r="J143" s="7">
        <f t="shared" si="48"/>
        <v>5245797</v>
      </c>
      <c r="K143" s="7">
        <f t="shared" si="48"/>
        <v>1560025</v>
      </c>
      <c r="L143" s="7">
        <f t="shared" ref="L143" si="49">SUM(L136:L142)</f>
        <v>3685772</v>
      </c>
    </row>
    <row r="144" spans="1:12" x14ac:dyDescent="0.3">
      <c r="A144" s="254"/>
      <c r="B144" s="261"/>
      <c r="C144" s="6" t="s">
        <v>31</v>
      </c>
      <c r="D144" s="7">
        <v>1025121</v>
      </c>
      <c r="E144" s="7">
        <v>1025121</v>
      </c>
      <c r="F144" s="7"/>
      <c r="G144" s="7"/>
      <c r="H144" s="7"/>
      <c r="I144" s="7"/>
      <c r="J144" s="21">
        <f t="shared" ref="J144:J152" si="50">E144+F144+G144+H144+I144</f>
        <v>1025121</v>
      </c>
      <c r="K144" s="53">
        <v>317971</v>
      </c>
      <c r="L144" s="8">
        <f t="shared" ref="L144:L152" si="51">J144-K144</f>
        <v>707150</v>
      </c>
    </row>
    <row r="145" spans="1:12" x14ac:dyDescent="0.3">
      <c r="A145" s="254"/>
      <c r="B145" s="261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50"/>
        <v>80000</v>
      </c>
      <c r="K145" s="51">
        <v>0</v>
      </c>
      <c r="L145" s="3">
        <f t="shared" si="51"/>
        <v>80000</v>
      </c>
    </row>
    <row r="146" spans="1:12" x14ac:dyDescent="0.3">
      <c r="A146" s="254"/>
      <c r="B146" s="261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50"/>
        <v>110000</v>
      </c>
      <c r="K146" s="51">
        <v>0</v>
      </c>
      <c r="L146" s="3">
        <f t="shared" si="51"/>
        <v>110000</v>
      </c>
    </row>
    <row r="147" spans="1:12" x14ac:dyDescent="0.3">
      <c r="A147" s="254"/>
      <c r="B147" s="261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50"/>
        <v>136000</v>
      </c>
      <c r="K147" s="51">
        <v>0</v>
      </c>
      <c r="L147" s="3">
        <f t="shared" si="51"/>
        <v>136000</v>
      </c>
    </row>
    <row r="148" spans="1:12" x14ac:dyDescent="0.3">
      <c r="A148" s="254"/>
      <c r="B148" s="261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50"/>
        <v>144000</v>
      </c>
      <c r="K148" s="51">
        <v>0</v>
      </c>
      <c r="L148" s="3">
        <f t="shared" si="51"/>
        <v>144000</v>
      </c>
    </row>
    <row r="149" spans="1:12" x14ac:dyDescent="0.3">
      <c r="A149" s="254"/>
      <c r="B149" s="261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50"/>
        <v>16800</v>
      </c>
      <c r="K149" s="51">
        <v>0</v>
      </c>
      <c r="L149" s="3">
        <f t="shared" si="51"/>
        <v>16800</v>
      </c>
    </row>
    <row r="150" spans="1:12" x14ac:dyDescent="0.3">
      <c r="A150" s="254"/>
      <c r="B150" s="261"/>
      <c r="C150" s="2" t="s">
        <v>41</v>
      </c>
      <c r="D150" s="3">
        <v>40000</v>
      </c>
      <c r="E150" s="3">
        <v>54000</v>
      </c>
      <c r="F150" s="3"/>
      <c r="G150" s="3"/>
      <c r="H150" s="3"/>
      <c r="I150" s="3"/>
      <c r="J150" s="20">
        <f t="shared" si="50"/>
        <v>54000</v>
      </c>
      <c r="K150" s="51">
        <v>46800</v>
      </c>
      <c r="L150" s="3">
        <f t="shared" si="51"/>
        <v>7200</v>
      </c>
    </row>
    <row r="151" spans="1:12" x14ac:dyDescent="0.3">
      <c r="A151" s="254"/>
      <c r="B151" s="261"/>
      <c r="C151" s="2" t="s">
        <v>42</v>
      </c>
      <c r="D151" s="3">
        <v>150000</v>
      </c>
      <c r="E151" s="3">
        <v>150000</v>
      </c>
      <c r="F151" s="3"/>
      <c r="G151" s="3"/>
      <c r="H151" s="3"/>
      <c r="I151" s="3"/>
      <c r="J151" s="20">
        <f t="shared" si="50"/>
        <v>150000</v>
      </c>
      <c r="K151" s="51">
        <v>42770</v>
      </c>
      <c r="L151" s="3">
        <f t="shared" si="51"/>
        <v>107230</v>
      </c>
    </row>
    <row r="152" spans="1:12" x14ac:dyDescent="0.3">
      <c r="A152" s="254"/>
      <c r="B152" s="261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50"/>
        <v>141480</v>
      </c>
      <c r="K152" s="51">
        <v>7236</v>
      </c>
      <c r="L152" s="3">
        <f t="shared" si="51"/>
        <v>134244</v>
      </c>
    </row>
    <row r="153" spans="1:12" x14ac:dyDescent="0.3">
      <c r="A153" s="254"/>
      <c r="B153" s="261"/>
      <c r="C153" s="6" t="s">
        <v>49</v>
      </c>
      <c r="D153" s="7">
        <f>SUM(D145:D152)</f>
        <v>832280</v>
      </c>
      <c r="E153" s="7">
        <f t="shared" ref="E153:K153" si="52">SUM(E145:E152)</f>
        <v>832280</v>
      </c>
      <c r="F153" s="7">
        <f t="shared" si="52"/>
        <v>0</v>
      </c>
      <c r="G153" s="7">
        <f t="shared" si="52"/>
        <v>0</v>
      </c>
      <c r="H153" s="7">
        <f t="shared" si="52"/>
        <v>0</v>
      </c>
      <c r="I153" s="7">
        <f t="shared" si="52"/>
        <v>0</v>
      </c>
      <c r="J153" s="7">
        <f t="shared" si="52"/>
        <v>832280</v>
      </c>
      <c r="K153" s="7">
        <f t="shared" si="52"/>
        <v>96806</v>
      </c>
      <c r="L153" s="7">
        <f t="shared" ref="L153" si="53">SUM(L145:L152)</f>
        <v>735474</v>
      </c>
    </row>
    <row r="154" spans="1:12" x14ac:dyDescent="0.3">
      <c r="A154" s="262" t="s">
        <v>66</v>
      </c>
      <c r="B154" s="264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54">E154+F154+G154+H154+I154</f>
        <v>832628</v>
      </c>
      <c r="K154" s="51">
        <v>265878</v>
      </c>
      <c r="L154" s="3">
        <f t="shared" ref="L154:L155" si="55">J154-K154</f>
        <v>566750</v>
      </c>
    </row>
    <row r="155" spans="1:12" x14ac:dyDescent="0.3">
      <c r="A155" s="263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54"/>
        <v>155410</v>
      </c>
      <c r="K155" s="51">
        <v>51845</v>
      </c>
      <c r="L155" s="3">
        <f t="shared" si="55"/>
        <v>103565</v>
      </c>
    </row>
    <row r="156" spans="1:12" x14ac:dyDescent="0.3">
      <c r="A156" s="257" t="s">
        <v>79</v>
      </c>
      <c r="B156" s="258"/>
      <c r="C156" s="259"/>
      <c r="D156" s="22">
        <f>SUM(D143+D144+D153+D154+D155)</f>
        <v>8091236</v>
      </c>
      <c r="E156" s="22">
        <f t="shared" ref="E156:K156" si="56">SUM(E143+E144+E153+E154+E155)</f>
        <v>8091236</v>
      </c>
      <c r="F156" s="22">
        <f t="shared" si="56"/>
        <v>0</v>
      </c>
      <c r="G156" s="22">
        <f t="shared" si="56"/>
        <v>0</v>
      </c>
      <c r="H156" s="22">
        <f t="shared" si="56"/>
        <v>0</v>
      </c>
      <c r="I156" s="22">
        <f t="shared" si="56"/>
        <v>0</v>
      </c>
      <c r="J156" s="22">
        <f t="shared" si="56"/>
        <v>8091236</v>
      </c>
      <c r="K156" s="22">
        <f t="shared" si="56"/>
        <v>2292525</v>
      </c>
      <c r="L156" s="22">
        <f t="shared" ref="L156" si="57">SUM(L143+L144+L153+L154+L155)</f>
        <v>5798711</v>
      </c>
    </row>
    <row r="157" spans="1:12" x14ac:dyDescent="0.3">
      <c r="A157" s="254" t="s">
        <v>55</v>
      </c>
      <c r="B157" s="261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8">E157+F157+G157+H157+I157</f>
        <v>5055869</v>
      </c>
      <c r="K157" s="51">
        <v>1610997</v>
      </c>
      <c r="L157" s="3">
        <f t="shared" ref="L157:L162" si="59">J157-K157</f>
        <v>3444872</v>
      </c>
    </row>
    <row r="158" spans="1:12" x14ac:dyDescent="0.3">
      <c r="A158" s="254"/>
      <c r="B158" s="261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8"/>
        <v>425000</v>
      </c>
      <c r="K158" s="51">
        <v>112500</v>
      </c>
      <c r="L158" s="3">
        <f t="shared" si="59"/>
        <v>312500</v>
      </c>
    </row>
    <row r="159" spans="1:12" x14ac:dyDescent="0.3">
      <c r="A159" s="254"/>
      <c r="B159" s="261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8"/>
        <v>10000</v>
      </c>
      <c r="K159" s="51">
        <v>0</v>
      </c>
      <c r="L159" s="3">
        <f t="shared" si="59"/>
        <v>10000</v>
      </c>
    </row>
    <row r="160" spans="1:12" x14ac:dyDescent="0.3">
      <c r="A160" s="254"/>
      <c r="B160" s="261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8"/>
        <v>24000</v>
      </c>
      <c r="K160" s="51">
        <v>0</v>
      </c>
      <c r="L160" s="3">
        <f t="shared" si="59"/>
        <v>24000</v>
      </c>
    </row>
    <row r="161" spans="1:12" x14ac:dyDescent="0.3">
      <c r="A161" s="254"/>
      <c r="B161" s="261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8"/>
        <v>75000</v>
      </c>
      <c r="K161" s="51">
        <v>0</v>
      </c>
      <c r="L161" s="3">
        <f t="shared" si="59"/>
        <v>75000</v>
      </c>
    </row>
    <row r="162" spans="1:12" x14ac:dyDescent="0.3">
      <c r="A162" s="254"/>
      <c r="B162" s="261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8"/>
        <v>0</v>
      </c>
      <c r="K162" s="51">
        <v>0</v>
      </c>
      <c r="L162" s="3">
        <f t="shared" si="59"/>
        <v>0</v>
      </c>
    </row>
    <row r="163" spans="1:12" x14ac:dyDescent="0.3">
      <c r="A163" s="254"/>
      <c r="B163" s="261"/>
      <c r="C163" s="6" t="s">
        <v>53</v>
      </c>
      <c r="D163" s="7">
        <f>SUM(D157:D162)</f>
        <v>5589869</v>
      </c>
      <c r="E163" s="7">
        <f t="shared" ref="E163:K163" si="60">SUM(E157:E162)</f>
        <v>5589869</v>
      </c>
      <c r="F163" s="7">
        <f t="shared" si="60"/>
        <v>0</v>
      </c>
      <c r="G163" s="7">
        <f t="shared" si="60"/>
        <v>0</v>
      </c>
      <c r="H163" s="7">
        <f t="shared" si="60"/>
        <v>0</v>
      </c>
      <c r="I163" s="7">
        <f t="shared" si="60"/>
        <v>0</v>
      </c>
      <c r="J163" s="7">
        <f t="shared" si="60"/>
        <v>5589869</v>
      </c>
      <c r="K163" s="7">
        <f t="shared" si="60"/>
        <v>1723497</v>
      </c>
      <c r="L163" s="7">
        <f t="shared" ref="L163" si="61">SUM(L157:L162)</f>
        <v>3866372</v>
      </c>
    </row>
    <row r="164" spans="1:12" x14ac:dyDescent="0.3">
      <c r="A164" s="254"/>
      <c r="B164" s="261"/>
      <c r="C164" s="6" t="s">
        <v>31</v>
      </c>
      <c r="D164" s="7">
        <v>1124913</v>
      </c>
      <c r="E164" s="7">
        <v>1124913</v>
      </c>
      <c r="F164" s="7"/>
      <c r="G164" s="7"/>
      <c r="H164" s="7"/>
      <c r="I164" s="7"/>
      <c r="J164" s="21">
        <f t="shared" ref="J164:J173" si="62">E164+F164+G164+H164+I164</f>
        <v>1124913</v>
      </c>
      <c r="K164" s="53">
        <v>359623</v>
      </c>
      <c r="L164" s="8">
        <f t="shared" ref="L164:L173" si="63">J164-K164</f>
        <v>765290</v>
      </c>
    </row>
    <row r="165" spans="1:12" x14ac:dyDescent="0.3">
      <c r="A165" s="254"/>
      <c r="B165" s="261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62"/>
        <v>100000</v>
      </c>
      <c r="K165" s="51">
        <v>0</v>
      </c>
      <c r="L165" s="3">
        <f t="shared" si="63"/>
        <v>100000</v>
      </c>
    </row>
    <row r="166" spans="1:12" x14ac:dyDescent="0.3">
      <c r="A166" s="254"/>
      <c r="B166" s="261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62"/>
        <v>100000</v>
      </c>
      <c r="K166" s="51">
        <v>0</v>
      </c>
      <c r="L166" s="3">
        <f t="shared" si="63"/>
        <v>100000</v>
      </c>
    </row>
    <row r="167" spans="1:12" x14ac:dyDescent="0.3">
      <c r="A167" s="254"/>
      <c r="B167" s="261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62"/>
        <v>100000</v>
      </c>
      <c r="K167" s="51">
        <v>0</v>
      </c>
      <c r="L167" s="3">
        <f t="shared" si="63"/>
        <v>100000</v>
      </c>
    </row>
    <row r="168" spans="1:12" x14ac:dyDescent="0.3">
      <c r="A168" s="254"/>
      <c r="B168" s="261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62"/>
        <v>50000</v>
      </c>
      <c r="K168" s="51">
        <v>0</v>
      </c>
      <c r="L168" s="3">
        <f t="shared" si="63"/>
        <v>50000</v>
      </c>
    </row>
    <row r="169" spans="1:12" x14ac:dyDescent="0.3">
      <c r="A169" s="254"/>
      <c r="B169" s="261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62"/>
        <v>140000</v>
      </c>
      <c r="K169" s="51">
        <v>13994</v>
      </c>
      <c r="L169" s="3">
        <f t="shared" si="63"/>
        <v>126006</v>
      </c>
    </row>
    <row r="170" spans="1:12" x14ac:dyDescent="0.3">
      <c r="A170" s="254"/>
      <c r="B170" s="261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62"/>
        <v>15000</v>
      </c>
      <c r="K170" s="51">
        <v>0</v>
      </c>
      <c r="L170" s="3">
        <f t="shared" si="63"/>
        <v>15000</v>
      </c>
    </row>
    <row r="171" spans="1:12" x14ac:dyDescent="0.3">
      <c r="A171" s="254"/>
      <c r="B171" s="261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62"/>
        <v>80000</v>
      </c>
      <c r="K171" s="51">
        <v>26800</v>
      </c>
      <c r="L171" s="3">
        <f t="shared" si="63"/>
        <v>53200</v>
      </c>
    </row>
    <row r="172" spans="1:12" x14ac:dyDescent="0.3">
      <c r="A172" s="254"/>
      <c r="B172" s="261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62"/>
        <v>240000</v>
      </c>
      <c r="K172" s="51">
        <v>88955</v>
      </c>
      <c r="L172" s="3">
        <f t="shared" si="63"/>
        <v>151045</v>
      </c>
    </row>
    <row r="173" spans="1:12" x14ac:dyDescent="0.3">
      <c r="A173" s="254"/>
      <c r="B173" s="261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62"/>
        <v>142900</v>
      </c>
      <c r="K173" s="51">
        <v>11014</v>
      </c>
      <c r="L173" s="3">
        <f t="shared" si="63"/>
        <v>131886</v>
      </c>
    </row>
    <row r="174" spans="1:12" x14ac:dyDescent="0.3">
      <c r="A174" s="254"/>
      <c r="B174" s="261"/>
      <c r="C174" s="6" t="s">
        <v>49</v>
      </c>
      <c r="D174" s="7">
        <f>SUM(D165:D173)</f>
        <v>967900</v>
      </c>
      <c r="E174" s="7">
        <f t="shared" ref="E174:K174" si="64">SUM(E165:E173)</f>
        <v>967900</v>
      </c>
      <c r="F174" s="7">
        <f t="shared" si="64"/>
        <v>0</v>
      </c>
      <c r="G174" s="7">
        <f t="shared" si="64"/>
        <v>0</v>
      </c>
      <c r="H174" s="7">
        <f t="shared" si="64"/>
        <v>0</v>
      </c>
      <c r="I174" s="7">
        <f t="shared" si="64"/>
        <v>0</v>
      </c>
      <c r="J174" s="7">
        <f t="shared" si="64"/>
        <v>967900</v>
      </c>
      <c r="K174" s="7">
        <f t="shared" si="64"/>
        <v>140763</v>
      </c>
      <c r="L174" s="7">
        <f t="shared" ref="L174" si="65">SUM(L165:L173)</f>
        <v>827137</v>
      </c>
    </row>
    <row r="175" spans="1:12" x14ac:dyDescent="0.3">
      <c r="A175" s="262" t="s">
        <v>67</v>
      </c>
      <c r="B175" s="264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0" si="66">E175+F175+G175+H175+I175</f>
        <v>157200</v>
      </c>
      <c r="K175" s="51">
        <v>29000</v>
      </c>
      <c r="L175" s="3">
        <f t="shared" ref="L175:L190" si="67">J175-K175</f>
        <v>128200</v>
      </c>
    </row>
    <row r="176" spans="1:12" x14ac:dyDescent="0.3">
      <c r="A176" s="263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66"/>
        <v>29213</v>
      </c>
      <c r="K176" s="51">
        <v>5655</v>
      </c>
      <c r="L176" s="3">
        <f t="shared" si="67"/>
        <v>23558</v>
      </c>
    </row>
    <row r="177" spans="1:12" x14ac:dyDescent="0.3">
      <c r="A177" s="262" t="s">
        <v>75</v>
      </c>
      <c r="B177" s="264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66"/>
        <v>1604509</v>
      </c>
      <c r="K177" s="51">
        <v>544226</v>
      </c>
      <c r="L177" s="3">
        <f t="shared" si="67"/>
        <v>1060283</v>
      </c>
    </row>
    <row r="178" spans="1:12" x14ac:dyDescent="0.3">
      <c r="A178" s="263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66"/>
        <v>299119</v>
      </c>
      <c r="K178" s="51">
        <v>106125</v>
      </c>
      <c r="L178" s="3">
        <f t="shared" si="67"/>
        <v>192994</v>
      </c>
    </row>
    <row r="179" spans="1:12" x14ac:dyDescent="0.3">
      <c r="A179" s="260" t="s">
        <v>80</v>
      </c>
      <c r="B179" s="260"/>
      <c r="C179" s="260"/>
      <c r="D179" s="42">
        <f>SUM(D163+D164+D174+D175+D176+D177+D178)</f>
        <v>9772723</v>
      </c>
      <c r="E179" s="42">
        <f t="shared" ref="E179:K179" si="68">SUM(E163+E164+E174+E175+E176+E177+E178)</f>
        <v>9772723</v>
      </c>
      <c r="F179" s="42">
        <f t="shared" si="68"/>
        <v>0</v>
      </c>
      <c r="G179" s="42">
        <f t="shared" si="68"/>
        <v>0</v>
      </c>
      <c r="H179" s="42">
        <f t="shared" si="68"/>
        <v>0</v>
      </c>
      <c r="I179" s="42">
        <f t="shared" si="68"/>
        <v>0</v>
      </c>
      <c r="J179" s="42">
        <f t="shared" si="68"/>
        <v>9772723</v>
      </c>
      <c r="K179" s="42">
        <f t="shared" si="68"/>
        <v>2908889</v>
      </c>
      <c r="L179" s="42">
        <f t="shared" ref="L179" si="69">SUM(L163+L164+L174+L175+L176+L177+L178)</f>
        <v>6863834</v>
      </c>
    </row>
    <row r="180" spans="1:12" x14ac:dyDescent="0.3">
      <c r="A180" s="254" t="s">
        <v>15</v>
      </c>
      <c r="B180" s="264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66"/>
        <v>11144060</v>
      </c>
      <c r="K180" s="56">
        <v>765500</v>
      </c>
      <c r="L180" s="3">
        <f t="shared" si="67"/>
        <v>10378560</v>
      </c>
    </row>
    <row r="181" spans="1:12" x14ac:dyDescent="0.3">
      <c r="A181" s="254"/>
      <c r="B181" s="268"/>
      <c r="C181" s="6" t="s">
        <v>53</v>
      </c>
      <c r="D181" s="7">
        <f>D180</f>
        <v>11144060</v>
      </c>
      <c r="E181" s="7">
        <f t="shared" ref="E181:K181" si="70">E180</f>
        <v>11144060</v>
      </c>
      <c r="F181" s="7">
        <f t="shared" si="70"/>
        <v>0</v>
      </c>
      <c r="G181" s="7">
        <f t="shared" si="70"/>
        <v>0</v>
      </c>
      <c r="H181" s="7">
        <f t="shared" si="70"/>
        <v>0</v>
      </c>
      <c r="I181" s="7">
        <f t="shared" si="70"/>
        <v>0</v>
      </c>
      <c r="J181" s="7">
        <f t="shared" si="70"/>
        <v>11144060</v>
      </c>
      <c r="K181" s="7">
        <f t="shared" si="70"/>
        <v>765500</v>
      </c>
      <c r="L181" s="8">
        <f t="shared" si="67"/>
        <v>10378560</v>
      </c>
    </row>
    <row r="182" spans="1:12" x14ac:dyDescent="0.3">
      <c r="A182" s="254"/>
      <c r="B182" s="268"/>
      <c r="C182" s="6" t="s">
        <v>31</v>
      </c>
      <c r="D182" s="7">
        <v>2295657</v>
      </c>
      <c r="E182" s="7">
        <v>2295657</v>
      </c>
      <c r="F182" s="7"/>
      <c r="G182" s="7"/>
      <c r="H182" s="7"/>
      <c r="I182" s="7"/>
      <c r="J182" s="8">
        <f t="shared" si="66"/>
        <v>2295657</v>
      </c>
      <c r="K182" s="53">
        <v>149273</v>
      </c>
      <c r="L182" s="8">
        <f t="shared" si="67"/>
        <v>2146384</v>
      </c>
    </row>
    <row r="183" spans="1:12" x14ac:dyDescent="0.3">
      <c r="A183" s="254"/>
      <c r="B183" s="268"/>
      <c r="C183" s="10" t="s">
        <v>33</v>
      </c>
      <c r="D183" s="3">
        <v>90000</v>
      </c>
      <c r="E183" s="3">
        <v>90000</v>
      </c>
      <c r="F183" s="3"/>
      <c r="G183" s="3"/>
      <c r="H183" s="3"/>
      <c r="I183" s="3"/>
      <c r="J183" s="3">
        <f t="shared" si="66"/>
        <v>90000</v>
      </c>
      <c r="K183" s="51">
        <v>0</v>
      </c>
      <c r="L183" s="3">
        <f t="shared" si="67"/>
        <v>90000</v>
      </c>
    </row>
    <row r="184" spans="1:12" x14ac:dyDescent="0.3">
      <c r="A184" s="254"/>
      <c r="B184" s="268"/>
      <c r="C184" s="10" t="s">
        <v>37</v>
      </c>
      <c r="D184" s="3">
        <v>230000</v>
      </c>
      <c r="E184" s="3">
        <v>230000</v>
      </c>
      <c r="F184" s="3"/>
      <c r="G184" s="3"/>
      <c r="H184" s="3"/>
      <c r="I184" s="3"/>
      <c r="J184" s="3">
        <f t="shared" si="66"/>
        <v>230000</v>
      </c>
      <c r="K184" s="51">
        <v>0</v>
      </c>
      <c r="L184" s="3">
        <f t="shared" si="67"/>
        <v>230000</v>
      </c>
    </row>
    <row r="185" spans="1:12" x14ac:dyDescent="0.3">
      <c r="A185" s="254"/>
      <c r="B185" s="268"/>
      <c r="C185" s="10" t="s">
        <v>40</v>
      </c>
      <c r="D185" s="3">
        <v>14850000</v>
      </c>
      <c r="E185" s="3">
        <v>14850000</v>
      </c>
      <c r="F185" s="3"/>
      <c r="G185" s="3"/>
      <c r="H185" s="3"/>
      <c r="I185" s="3"/>
      <c r="J185" s="3">
        <f t="shared" si="66"/>
        <v>14850000</v>
      </c>
      <c r="K185" s="51">
        <v>5250000</v>
      </c>
      <c r="L185" s="3">
        <f t="shared" si="67"/>
        <v>9600000</v>
      </c>
    </row>
    <row r="186" spans="1:12" x14ac:dyDescent="0.3">
      <c r="A186" s="254"/>
      <c r="B186" s="268"/>
      <c r="C186" s="10" t="s">
        <v>41</v>
      </c>
      <c r="D186" s="3">
        <v>25112271</v>
      </c>
      <c r="E186" s="3">
        <v>25112271</v>
      </c>
      <c r="F186" s="3"/>
      <c r="G186" s="3"/>
      <c r="H186" s="3"/>
      <c r="I186" s="3"/>
      <c r="J186" s="3">
        <f t="shared" si="66"/>
        <v>25112271</v>
      </c>
      <c r="K186" s="51">
        <v>0</v>
      </c>
      <c r="L186" s="3">
        <f t="shared" si="67"/>
        <v>25112271</v>
      </c>
    </row>
    <row r="187" spans="1:12" x14ac:dyDescent="0.3">
      <c r="A187" s="254"/>
      <c r="B187" s="268"/>
      <c r="C187" s="10" t="s">
        <v>42</v>
      </c>
      <c r="D187" s="3">
        <v>230000</v>
      </c>
      <c r="E187" s="3">
        <v>230000</v>
      </c>
      <c r="F187" s="3"/>
      <c r="G187" s="3"/>
      <c r="H187" s="3"/>
      <c r="I187" s="3"/>
      <c r="J187" s="3">
        <f t="shared" si="66"/>
        <v>230000</v>
      </c>
      <c r="K187" s="51">
        <v>0</v>
      </c>
      <c r="L187" s="3">
        <f t="shared" si="67"/>
        <v>230000</v>
      </c>
    </row>
    <row r="188" spans="1:12" x14ac:dyDescent="0.3">
      <c r="A188" s="254"/>
      <c r="B188" s="268"/>
      <c r="C188" s="10" t="s">
        <v>43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66"/>
        <v>230000</v>
      </c>
      <c r="K188" s="51">
        <v>0</v>
      </c>
      <c r="L188" s="3">
        <f t="shared" si="67"/>
        <v>230000</v>
      </c>
    </row>
    <row r="189" spans="1:12" x14ac:dyDescent="0.3">
      <c r="A189" s="254"/>
      <c r="B189" s="268"/>
      <c r="C189" s="10" t="s">
        <v>44</v>
      </c>
      <c r="D189" s="3">
        <v>5677830</v>
      </c>
      <c r="E189" s="3">
        <v>5677830</v>
      </c>
      <c r="F189" s="3"/>
      <c r="G189" s="3"/>
      <c r="H189" s="3"/>
      <c r="I189" s="3"/>
      <c r="J189" s="3">
        <f t="shared" si="66"/>
        <v>5677830</v>
      </c>
      <c r="K189" s="51">
        <v>1417500</v>
      </c>
      <c r="L189" s="3">
        <f t="shared" si="67"/>
        <v>4260330</v>
      </c>
    </row>
    <row r="190" spans="1:12" x14ac:dyDescent="0.3">
      <c r="A190" s="254"/>
      <c r="B190" s="268"/>
      <c r="C190" s="10" t="s">
        <v>45</v>
      </c>
      <c r="D190" s="3">
        <v>229990</v>
      </c>
      <c r="E190" s="3">
        <v>229990</v>
      </c>
      <c r="F190" s="3"/>
      <c r="G190" s="3"/>
      <c r="H190" s="3"/>
      <c r="I190" s="3"/>
      <c r="J190" s="3">
        <f t="shared" si="66"/>
        <v>229990</v>
      </c>
      <c r="K190" s="51">
        <v>0</v>
      </c>
      <c r="L190" s="3">
        <f t="shared" si="67"/>
        <v>229990</v>
      </c>
    </row>
    <row r="191" spans="1:12" x14ac:dyDescent="0.3">
      <c r="A191" s="254"/>
      <c r="B191" s="268"/>
      <c r="C191" s="6" t="s">
        <v>49</v>
      </c>
      <c r="D191" s="7">
        <f>SUM(D183:D190)</f>
        <v>46650091</v>
      </c>
      <c r="E191" s="7">
        <f t="shared" ref="E191:K191" si="71">SUM(E183:E190)</f>
        <v>46650091</v>
      </c>
      <c r="F191" s="7">
        <f t="shared" si="71"/>
        <v>0</v>
      </c>
      <c r="G191" s="7">
        <f t="shared" si="71"/>
        <v>0</v>
      </c>
      <c r="H191" s="7">
        <f t="shared" si="71"/>
        <v>0</v>
      </c>
      <c r="I191" s="7">
        <f t="shared" si="71"/>
        <v>0</v>
      </c>
      <c r="J191" s="7">
        <f t="shared" si="71"/>
        <v>46650091</v>
      </c>
      <c r="K191" s="7">
        <f t="shared" si="71"/>
        <v>6667500</v>
      </c>
      <c r="L191" s="7">
        <f t="shared" ref="L191" si="72">SUM(L183:L190)</f>
        <v>39982591</v>
      </c>
    </row>
    <row r="192" spans="1:12" x14ac:dyDescent="0.3">
      <c r="A192" s="254"/>
      <c r="B192" s="268"/>
      <c r="C192" s="10" t="s">
        <v>56</v>
      </c>
      <c r="D192" s="3">
        <v>0</v>
      </c>
      <c r="E192" s="3">
        <v>0</v>
      </c>
      <c r="F192" s="3"/>
      <c r="G192" s="3"/>
      <c r="H192" s="3"/>
      <c r="I192" s="3"/>
      <c r="J192" s="3">
        <f t="shared" ref="J192:J194" si="73">E192+F192+G192+H192+I192</f>
        <v>0</v>
      </c>
      <c r="K192" s="51">
        <v>0</v>
      </c>
      <c r="L192" s="3">
        <f t="shared" ref="L192:L194" si="74">J192-K192</f>
        <v>0</v>
      </c>
    </row>
    <row r="193" spans="1:12" x14ac:dyDescent="0.3">
      <c r="A193" s="254"/>
      <c r="B193" s="268"/>
      <c r="C193" s="10" t="s">
        <v>50</v>
      </c>
      <c r="D193" s="3">
        <v>3740</v>
      </c>
      <c r="E193" s="3">
        <v>3740</v>
      </c>
      <c r="F193" s="3"/>
      <c r="G193" s="3"/>
      <c r="H193" s="3"/>
      <c r="I193" s="3"/>
      <c r="J193" s="3">
        <f t="shared" si="73"/>
        <v>3740</v>
      </c>
      <c r="K193" s="51">
        <v>0</v>
      </c>
      <c r="L193" s="3">
        <f t="shared" si="74"/>
        <v>3740</v>
      </c>
    </row>
    <row r="194" spans="1:12" x14ac:dyDescent="0.3">
      <c r="A194" s="254"/>
      <c r="B194" s="268"/>
      <c r="C194" s="10" t="s">
        <v>51</v>
      </c>
      <c r="D194" s="3">
        <v>1010</v>
      </c>
      <c r="E194" s="3">
        <v>1010</v>
      </c>
      <c r="F194" s="3"/>
      <c r="G194" s="3"/>
      <c r="H194" s="3"/>
      <c r="I194" s="3"/>
      <c r="J194" s="3">
        <f t="shared" si="73"/>
        <v>1010</v>
      </c>
      <c r="K194" s="51">
        <v>0</v>
      </c>
      <c r="L194" s="3">
        <f t="shared" si="74"/>
        <v>1010</v>
      </c>
    </row>
    <row r="195" spans="1:12" x14ac:dyDescent="0.3">
      <c r="A195" s="254"/>
      <c r="B195" s="268"/>
      <c r="C195" s="6" t="s">
        <v>52</v>
      </c>
      <c r="D195" s="7">
        <f>SUM(D192:D194)</f>
        <v>4750</v>
      </c>
      <c r="E195" s="7">
        <f t="shared" ref="E195:K195" si="75">SUM(E192:E194)</f>
        <v>4750</v>
      </c>
      <c r="F195" s="7">
        <f t="shared" si="75"/>
        <v>0</v>
      </c>
      <c r="G195" s="7">
        <f t="shared" si="75"/>
        <v>0</v>
      </c>
      <c r="H195" s="7">
        <f t="shared" si="75"/>
        <v>0</v>
      </c>
      <c r="I195" s="7">
        <f t="shared" si="75"/>
        <v>0</v>
      </c>
      <c r="J195" s="7">
        <f t="shared" si="75"/>
        <v>4750</v>
      </c>
      <c r="K195" s="7">
        <f t="shared" si="75"/>
        <v>0</v>
      </c>
      <c r="L195" s="7">
        <f t="shared" ref="L195" si="76">SUM(L192:L194)</f>
        <v>4750</v>
      </c>
    </row>
    <row r="196" spans="1:12" x14ac:dyDescent="0.3">
      <c r="A196" s="254"/>
      <c r="B196" s="265"/>
      <c r="C196" s="10" t="s">
        <v>57</v>
      </c>
      <c r="D196" s="3">
        <v>0</v>
      </c>
      <c r="E196" s="3">
        <v>0</v>
      </c>
      <c r="F196" s="3"/>
      <c r="G196" s="3"/>
      <c r="H196" s="3"/>
      <c r="I196" s="3"/>
      <c r="J196" s="3">
        <f t="shared" ref="J196" si="77">E196+F196+G196+H196+I196</f>
        <v>0</v>
      </c>
      <c r="K196" s="51">
        <v>0</v>
      </c>
      <c r="L196" s="3">
        <f t="shared" ref="L196" si="78">J196-K196</f>
        <v>0</v>
      </c>
    </row>
    <row r="197" spans="1:12" x14ac:dyDescent="0.3">
      <c r="A197" s="257" t="s">
        <v>81</v>
      </c>
      <c r="B197" s="258"/>
      <c r="C197" s="259"/>
      <c r="D197" s="22">
        <f>SUM(D181+D182+D191+D195+D196)</f>
        <v>60094558</v>
      </c>
      <c r="E197" s="22">
        <f t="shared" ref="E197:L197" si="79">SUM(E181+E182+E191+E195+E196)</f>
        <v>60094558</v>
      </c>
      <c r="F197" s="22">
        <f t="shared" si="79"/>
        <v>0</v>
      </c>
      <c r="G197" s="22">
        <f t="shared" si="79"/>
        <v>0</v>
      </c>
      <c r="H197" s="22">
        <f t="shared" si="79"/>
        <v>0</v>
      </c>
      <c r="I197" s="22">
        <f t="shared" si="79"/>
        <v>0</v>
      </c>
      <c r="J197" s="22">
        <f t="shared" si="79"/>
        <v>60094558</v>
      </c>
      <c r="K197" s="22">
        <f t="shared" si="79"/>
        <v>7582273</v>
      </c>
      <c r="L197" s="22">
        <f t="shared" si="79"/>
        <v>52512285</v>
      </c>
    </row>
    <row r="198" spans="1:12" x14ac:dyDescent="0.3">
      <c r="A198" s="285" t="s">
        <v>85</v>
      </c>
      <c r="B198" s="264" t="s">
        <v>46</v>
      </c>
      <c r="C198" s="12" t="s">
        <v>24</v>
      </c>
      <c r="D198" s="3">
        <v>9880165</v>
      </c>
      <c r="E198" s="3">
        <v>9696432</v>
      </c>
      <c r="F198" s="3">
        <v>-33670</v>
      </c>
      <c r="G198" s="3"/>
      <c r="H198" s="3"/>
      <c r="I198" s="3"/>
      <c r="J198" s="20">
        <f t="shared" ref="J198:J203" si="80">E198+F198+G198+H198+I198</f>
        <v>9662762</v>
      </c>
      <c r="K198" s="51">
        <v>2863838</v>
      </c>
      <c r="L198" s="3">
        <f t="shared" ref="L198:L203" si="81">J198-K198</f>
        <v>6798924</v>
      </c>
    </row>
    <row r="199" spans="1:12" x14ac:dyDescent="0.3">
      <c r="A199" s="285"/>
      <c r="B199" s="268"/>
      <c r="C199" s="12" t="s">
        <v>25</v>
      </c>
      <c r="D199" s="3">
        <v>400000</v>
      </c>
      <c r="E199" s="3">
        <v>400000</v>
      </c>
      <c r="F199" s="3"/>
      <c r="G199" s="3"/>
      <c r="H199" s="3"/>
      <c r="I199" s="3"/>
      <c r="J199" s="20">
        <f t="shared" si="80"/>
        <v>400000</v>
      </c>
      <c r="K199" s="51">
        <v>0</v>
      </c>
      <c r="L199" s="3">
        <f t="shared" si="81"/>
        <v>400000</v>
      </c>
    </row>
    <row r="200" spans="1:12" x14ac:dyDescent="0.3">
      <c r="A200" s="285"/>
      <c r="B200" s="268"/>
      <c r="C200" s="12" t="s">
        <v>26</v>
      </c>
      <c r="D200" s="3">
        <v>20000</v>
      </c>
      <c r="E200" s="3">
        <v>20000</v>
      </c>
      <c r="F200" s="3"/>
      <c r="G200" s="3"/>
      <c r="H200" s="3"/>
      <c r="I200" s="3"/>
      <c r="J200" s="20">
        <f t="shared" si="80"/>
        <v>20000</v>
      </c>
      <c r="K200" s="51">
        <v>0</v>
      </c>
      <c r="L200" s="3">
        <f t="shared" si="81"/>
        <v>20000</v>
      </c>
    </row>
    <row r="201" spans="1:12" x14ac:dyDescent="0.3">
      <c r="A201" s="285"/>
      <c r="B201" s="268"/>
      <c r="C201" s="2" t="s">
        <v>27</v>
      </c>
      <c r="D201" s="3">
        <v>75000</v>
      </c>
      <c r="E201" s="3">
        <v>75000</v>
      </c>
      <c r="F201" s="3"/>
      <c r="G201" s="3"/>
      <c r="H201" s="3"/>
      <c r="I201" s="3"/>
      <c r="J201" s="20">
        <f t="shared" si="80"/>
        <v>75000</v>
      </c>
      <c r="K201" s="51">
        <v>0</v>
      </c>
      <c r="L201" s="3">
        <f t="shared" si="81"/>
        <v>75000</v>
      </c>
    </row>
    <row r="202" spans="1:12" x14ac:dyDescent="0.3">
      <c r="A202" s="285"/>
      <c r="B202" s="268"/>
      <c r="C202" s="2" t="s">
        <v>28</v>
      </c>
      <c r="D202" s="3">
        <v>48000</v>
      </c>
      <c r="E202" s="3">
        <v>48000</v>
      </c>
      <c r="F202" s="3"/>
      <c r="G202" s="3"/>
      <c r="H202" s="3"/>
      <c r="I202" s="3"/>
      <c r="J202" s="20">
        <f t="shared" si="80"/>
        <v>48000</v>
      </c>
      <c r="K202" s="51">
        <v>0</v>
      </c>
      <c r="L202" s="3">
        <f t="shared" si="81"/>
        <v>48000</v>
      </c>
    </row>
    <row r="203" spans="1:12" x14ac:dyDescent="0.3">
      <c r="A203" s="285"/>
      <c r="B203" s="268"/>
      <c r="C203" s="2" t="s">
        <v>29</v>
      </c>
      <c r="D203" s="3">
        <v>264000</v>
      </c>
      <c r="E203" s="3">
        <v>447733</v>
      </c>
      <c r="F203" s="3">
        <v>33670</v>
      </c>
      <c r="G203" s="3"/>
      <c r="H203" s="3"/>
      <c r="I203" s="3"/>
      <c r="J203" s="20">
        <f t="shared" si="80"/>
        <v>481403</v>
      </c>
      <c r="K203" s="51">
        <v>282083</v>
      </c>
      <c r="L203" s="3">
        <f t="shared" si="81"/>
        <v>199320</v>
      </c>
    </row>
    <row r="204" spans="1:12" x14ac:dyDescent="0.3">
      <c r="A204" s="285"/>
      <c r="B204" s="268"/>
      <c r="C204" s="26" t="s">
        <v>53</v>
      </c>
      <c r="D204" s="7">
        <f>SUM(D198:D203)</f>
        <v>10687165</v>
      </c>
      <c r="E204" s="7">
        <f t="shared" ref="E204:K204" si="82">SUM(E198:E203)</f>
        <v>10687165</v>
      </c>
      <c r="F204" s="7">
        <f t="shared" si="82"/>
        <v>0</v>
      </c>
      <c r="G204" s="7">
        <f t="shared" si="82"/>
        <v>0</v>
      </c>
      <c r="H204" s="7">
        <f t="shared" si="82"/>
        <v>0</v>
      </c>
      <c r="I204" s="7">
        <f t="shared" si="82"/>
        <v>0</v>
      </c>
      <c r="J204" s="7">
        <f t="shared" si="82"/>
        <v>10687165</v>
      </c>
      <c r="K204" s="7">
        <f t="shared" si="82"/>
        <v>3145921</v>
      </c>
      <c r="L204" s="7">
        <f t="shared" ref="L204" si="83">SUM(L198:L203)</f>
        <v>7541244</v>
      </c>
    </row>
    <row r="205" spans="1:12" x14ac:dyDescent="0.3">
      <c r="A205" s="285"/>
      <c r="B205" s="268"/>
      <c r="C205" s="27" t="s">
        <v>31</v>
      </c>
      <c r="D205" s="28">
        <v>2120857</v>
      </c>
      <c r="E205" s="28">
        <v>2120857</v>
      </c>
      <c r="F205" s="13"/>
      <c r="G205" s="13"/>
      <c r="H205" s="13"/>
      <c r="I205" s="13"/>
      <c r="J205" s="21">
        <f t="shared" ref="J205:J209" si="84">E205+F205+G205+H205+I205</f>
        <v>2120857</v>
      </c>
      <c r="K205" s="53">
        <v>639310</v>
      </c>
      <c r="L205" s="8">
        <f t="shared" ref="L205:L209" si="85">J205-K205</f>
        <v>1481547</v>
      </c>
    </row>
    <row r="206" spans="1:12" x14ac:dyDescent="0.3">
      <c r="A206" s="285"/>
      <c r="B206" s="268"/>
      <c r="C206" s="46" t="s">
        <v>35</v>
      </c>
      <c r="D206" s="47">
        <v>0</v>
      </c>
      <c r="E206" s="47">
        <v>172800</v>
      </c>
      <c r="F206" s="47"/>
      <c r="G206" s="47"/>
      <c r="H206" s="47"/>
      <c r="I206" s="47"/>
      <c r="J206" s="20">
        <f t="shared" si="84"/>
        <v>172800</v>
      </c>
      <c r="K206" s="57">
        <v>16055</v>
      </c>
      <c r="L206" s="3">
        <f t="shared" si="85"/>
        <v>156745</v>
      </c>
    </row>
    <row r="207" spans="1:12" x14ac:dyDescent="0.3">
      <c r="A207" s="285"/>
      <c r="B207" s="268"/>
      <c r="C207" s="46" t="s">
        <v>42</v>
      </c>
      <c r="D207" s="47">
        <v>0</v>
      </c>
      <c r="E207" s="47">
        <v>44060</v>
      </c>
      <c r="F207" s="47">
        <v>12560</v>
      </c>
      <c r="G207" s="47"/>
      <c r="H207" s="47"/>
      <c r="I207" s="47"/>
      <c r="J207" s="20">
        <f t="shared" si="84"/>
        <v>56620</v>
      </c>
      <c r="K207" s="57">
        <v>56620</v>
      </c>
      <c r="L207" s="3">
        <f t="shared" si="85"/>
        <v>0</v>
      </c>
    </row>
    <row r="208" spans="1:12" x14ac:dyDescent="0.3">
      <c r="A208" s="285"/>
      <c r="B208" s="268"/>
      <c r="C208" s="46" t="s">
        <v>44</v>
      </c>
      <c r="D208" s="47">
        <v>0</v>
      </c>
      <c r="E208" s="47">
        <v>60140</v>
      </c>
      <c r="F208" s="47"/>
      <c r="G208" s="47"/>
      <c r="H208" s="47"/>
      <c r="I208" s="47"/>
      <c r="J208" s="20">
        <f t="shared" si="84"/>
        <v>60140</v>
      </c>
      <c r="K208" s="57">
        <v>24550</v>
      </c>
      <c r="L208" s="3">
        <f t="shared" si="85"/>
        <v>35590</v>
      </c>
    </row>
    <row r="209" spans="1:12" x14ac:dyDescent="0.3">
      <c r="A209" s="285"/>
      <c r="B209" s="268"/>
      <c r="C209" s="46" t="s">
        <v>45</v>
      </c>
      <c r="D209" s="47">
        <v>0</v>
      </c>
      <c r="E209" s="47">
        <v>259254</v>
      </c>
      <c r="F209" s="47">
        <v>17600</v>
      </c>
      <c r="G209" s="47"/>
      <c r="H209" s="47"/>
      <c r="I209" s="47"/>
      <c r="J209" s="20">
        <f t="shared" si="84"/>
        <v>276854</v>
      </c>
      <c r="K209" s="57">
        <v>184479</v>
      </c>
      <c r="L209" s="3">
        <f t="shared" si="85"/>
        <v>92375</v>
      </c>
    </row>
    <row r="210" spans="1:12" x14ac:dyDescent="0.3">
      <c r="A210" s="263"/>
      <c r="B210" s="265"/>
      <c r="C210" s="49" t="s">
        <v>49</v>
      </c>
      <c r="D210" s="50">
        <f>SUM(D206:D209)</f>
        <v>0</v>
      </c>
      <c r="E210" s="50">
        <f t="shared" ref="E210:L210" si="86">SUM(E206:E209)</f>
        <v>536254</v>
      </c>
      <c r="F210" s="50">
        <f t="shared" si="86"/>
        <v>30160</v>
      </c>
      <c r="G210" s="50">
        <f t="shared" si="86"/>
        <v>0</v>
      </c>
      <c r="H210" s="50">
        <f t="shared" si="86"/>
        <v>0</v>
      </c>
      <c r="I210" s="50">
        <f t="shared" si="86"/>
        <v>0</v>
      </c>
      <c r="J210" s="50">
        <f t="shared" si="86"/>
        <v>566414</v>
      </c>
      <c r="K210" s="50">
        <f t="shared" si="86"/>
        <v>281704</v>
      </c>
      <c r="L210" s="50">
        <f t="shared" si="86"/>
        <v>284710</v>
      </c>
    </row>
    <row r="211" spans="1:12" x14ac:dyDescent="0.3">
      <c r="A211" s="254" t="s">
        <v>68</v>
      </c>
      <c r="B211" s="279" t="s">
        <v>46</v>
      </c>
      <c r="C211" s="16" t="s">
        <v>24</v>
      </c>
      <c r="D211" s="17">
        <v>2501556</v>
      </c>
      <c r="E211" s="17">
        <v>2501556</v>
      </c>
      <c r="F211" s="17"/>
      <c r="G211" s="17"/>
      <c r="H211" s="17"/>
      <c r="I211" s="17"/>
      <c r="J211" s="20">
        <f>E211+F211+G211+H211+I211</f>
        <v>2501556</v>
      </c>
      <c r="K211" s="51">
        <v>809968</v>
      </c>
      <c r="L211" s="3">
        <f t="shared" ref="L211:L212" si="87">J211-K211</f>
        <v>1691588</v>
      </c>
    </row>
    <row r="212" spans="1:12" x14ac:dyDescent="0.3">
      <c r="A212" s="262"/>
      <c r="B212" s="280"/>
      <c r="C212" s="18" t="s">
        <v>31</v>
      </c>
      <c r="D212" s="19">
        <v>466569</v>
      </c>
      <c r="E212" s="19">
        <v>466569</v>
      </c>
      <c r="F212" s="19"/>
      <c r="G212" s="19"/>
      <c r="H212" s="19"/>
      <c r="I212" s="19"/>
      <c r="J212" s="20">
        <f t="shared" ref="J212" si="88">E212+F212+G212+H212+I212</f>
        <v>466569</v>
      </c>
      <c r="K212" s="51">
        <v>157940</v>
      </c>
      <c r="L212" s="3">
        <f t="shared" si="87"/>
        <v>308629</v>
      </c>
    </row>
    <row r="213" spans="1:12" x14ac:dyDescent="0.3">
      <c r="A213" s="257" t="s">
        <v>82</v>
      </c>
      <c r="B213" s="258"/>
      <c r="C213" s="259"/>
      <c r="D213" s="32">
        <f>SUM(D204+D205+D211+D212+D210)</f>
        <v>15776147</v>
      </c>
      <c r="E213" s="32">
        <f t="shared" ref="E213:L213" si="89">SUM(E204+E205+E211+E212+E210)</f>
        <v>16312401</v>
      </c>
      <c r="F213" s="32">
        <f t="shared" si="89"/>
        <v>30160</v>
      </c>
      <c r="G213" s="32">
        <f t="shared" si="89"/>
        <v>0</v>
      </c>
      <c r="H213" s="32">
        <f t="shared" si="89"/>
        <v>0</v>
      </c>
      <c r="I213" s="32">
        <f t="shared" si="89"/>
        <v>0</v>
      </c>
      <c r="J213" s="32">
        <f t="shared" si="89"/>
        <v>16342561</v>
      </c>
      <c r="K213" s="32">
        <f t="shared" si="89"/>
        <v>5034843</v>
      </c>
      <c r="L213" s="32">
        <f t="shared" si="89"/>
        <v>11307718</v>
      </c>
    </row>
    <row r="214" spans="1:12" x14ac:dyDescent="0.3">
      <c r="A214" s="257" t="s">
        <v>74</v>
      </c>
      <c r="B214" s="258"/>
      <c r="C214" s="259"/>
      <c r="D214" s="22">
        <f t="shared" ref="D214:L214" si="90">SUM(D88+D113+D135+D156+D179+D197+D213)</f>
        <v>230443641</v>
      </c>
      <c r="E214" s="22">
        <f t="shared" si="90"/>
        <v>230443641</v>
      </c>
      <c r="F214" s="22">
        <f t="shared" si="90"/>
        <v>0</v>
      </c>
      <c r="G214" s="22">
        <f t="shared" si="90"/>
        <v>0</v>
      </c>
      <c r="H214" s="22">
        <f t="shared" si="90"/>
        <v>0</v>
      </c>
      <c r="I214" s="22">
        <f t="shared" si="90"/>
        <v>0</v>
      </c>
      <c r="J214" s="22">
        <f t="shared" si="90"/>
        <v>230443641</v>
      </c>
      <c r="K214" s="22">
        <f t="shared" si="90"/>
        <v>55434228</v>
      </c>
      <c r="L214" s="22">
        <f t="shared" si="90"/>
        <v>175009413</v>
      </c>
    </row>
    <row r="215" spans="1:12" x14ac:dyDescent="0.3">
      <c r="B215" s="5"/>
      <c r="E215" s="4"/>
      <c r="F215" s="4"/>
      <c r="G215" s="4"/>
      <c r="H215" s="4"/>
      <c r="I215" s="4"/>
      <c r="J215" s="4"/>
      <c r="K215" s="39"/>
    </row>
    <row r="216" spans="1:12" x14ac:dyDescent="0.3">
      <c r="B216" s="5"/>
      <c r="E216" s="4"/>
      <c r="F216" s="4"/>
      <c r="G216" s="4"/>
      <c r="H216" s="4"/>
      <c r="I216" s="4"/>
      <c r="J216" s="4"/>
      <c r="K216" s="39"/>
    </row>
    <row r="217" spans="1:12" x14ac:dyDescent="0.3">
      <c r="B217" s="5"/>
      <c r="E217" s="4"/>
      <c r="F217" s="4"/>
      <c r="G217" s="4"/>
      <c r="H217" s="4"/>
      <c r="I217" s="4"/>
      <c r="J217" s="4"/>
      <c r="K217" s="39"/>
    </row>
    <row r="218" spans="1:12" x14ac:dyDescent="0.3">
      <c r="B218" s="5"/>
      <c r="E218" s="4"/>
      <c r="F218" s="4"/>
      <c r="G218" s="4"/>
      <c r="H218" s="4"/>
      <c r="I218" s="4"/>
      <c r="J218" s="4"/>
      <c r="K218" s="39"/>
    </row>
    <row r="219" spans="1:12" x14ac:dyDescent="0.3">
      <c r="B219" s="5"/>
      <c r="E219" s="4"/>
      <c r="F219" s="4"/>
      <c r="G219" s="4"/>
      <c r="H219" s="4"/>
      <c r="I219" s="4"/>
      <c r="J219" s="4"/>
      <c r="K219" s="39"/>
    </row>
    <row r="220" spans="1:12" ht="15" thickBot="1" x14ac:dyDescent="0.35">
      <c r="B220" s="5"/>
      <c r="E220" s="4"/>
      <c r="F220" s="4"/>
      <c r="G220" s="4"/>
      <c r="H220" s="4"/>
      <c r="I220" s="4"/>
      <c r="J220" s="4"/>
      <c r="K220" s="39"/>
    </row>
    <row r="221" spans="1:12" ht="15" thickTop="1" x14ac:dyDescent="0.3">
      <c r="A221" s="283" t="s">
        <v>83</v>
      </c>
      <c r="B221" s="283"/>
      <c r="C221" s="283"/>
      <c r="D221" s="283"/>
      <c r="E221" s="283"/>
      <c r="F221" s="283"/>
      <c r="G221" s="283"/>
      <c r="H221" s="283"/>
      <c r="I221" s="283"/>
      <c r="J221" s="283"/>
      <c r="K221" s="283"/>
    </row>
    <row r="222" spans="1:12" s="75" customFormat="1" ht="28.8" x14ac:dyDescent="0.3">
      <c r="A222" s="284" t="s">
        <v>0</v>
      </c>
      <c r="B222" s="284"/>
      <c r="C222" s="71" t="s">
        <v>3</v>
      </c>
      <c r="D222" s="71" t="s">
        <v>4</v>
      </c>
      <c r="E222" s="73" t="s">
        <v>89</v>
      </c>
      <c r="F222" s="72" t="s">
        <v>70</v>
      </c>
      <c r="G222" s="73"/>
      <c r="H222" s="73"/>
      <c r="I222" s="73"/>
      <c r="J222" s="73" t="s">
        <v>90</v>
      </c>
      <c r="K222" s="74" t="s">
        <v>91</v>
      </c>
    </row>
    <row r="223" spans="1:12" x14ac:dyDescent="0.3">
      <c r="A223" s="284"/>
      <c r="B223" s="284"/>
      <c r="C223" s="33" t="s">
        <v>16</v>
      </c>
      <c r="D223" s="34">
        <f>D5+D14+D16+D18+D20+D22</f>
        <v>117230959</v>
      </c>
      <c r="E223" s="34">
        <f>E5+E14+E16+E18+E20+E22</f>
        <v>117230959</v>
      </c>
      <c r="F223" s="34">
        <f t="shared" ref="F223:K224" si="91">F5+F14+F16+F18+F20+F22</f>
        <v>0</v>
      </c>
      <c r="G223" s="34">
        <f t="shared" si="91"/>
        <v>0</v>
      </c>
      <c r="H223" s="34">
        <f t="shared" si="91"/>
        <v>0</v>
      </c>
      <c r="I223" s="34">
        <f t="shared" si="91"/>
        <v>0</v>
      </c>
      <c r="J223" s="34">
        <f t="shared" si="91"/>
        <v>117230959</v>
      </c>
      <c r="K223" s="34">
        <f t="shared" si="91"/>
        <v>37270095</v>
      </c>
    </row>
    <row r="224" spans="1:12" x14ac:dyDescent="0.3">
      <c r="A224" s="284"/>
      <c r="B224" s="284"/>
      <c r="C224" s="33" t="s">
        <v>17</v>
      </c>
      <c r="D224" s="34">
        <f>D6+D15+D17+D19+D21+D23</f>
        <v>16012810</v>
      </c>
      <c r="E224" s="34">
        <f>E6+E15+E17+E19+E21+E23</f>
        <v>16012810</v>
      </c>
      <c r="F224" s="34">
        <f t="shared" si="91"/>
        <v>0</v>
      </c>
      <c r="G224" s="34">
        <f t="shared" si="91"/>
        <v>0</v>
      </c>
      <c r="H224" s="34">
        <f t="shared" si="91"/>
        <v>0</v>
      </c>
      <c r="I224" s="34">
        <f t="shared" si="91"/>
        <v>0</v>
      </c>
      <c r="J224" s="34">
        <f t="shared" si="91"/>
        <v>16012810</v>
      </c>
      <c r="K224" s="34">
        <f t="shared" si="91"/>
        <v>16012810</v>
      </c>
    </row>
    <row r="225" spans="1:11" x14ac:dyDescent="0.3">
      <c r="A225" s="284"/>
      <c r="B225" s="284"/>
      <c r="C225" s="33" t="s">
        <v>18</v>
      </c>
      <c r="D225" s="34">
        <f t="shared" ref="D225:E227" si="92">D7</f>
        <v>96985672</v>
      </c>
      <c r="E225" s="34">
        <f t="shared" si="92"/>
        <v>96985672</v>
      </c>
      <c r="F225" s="34">
        <f t="shared" ref="F225:K227" si="93">F7</f>
        <v>0</v>
      </c>
      <c r="G225" s="34">
        <f t="shared" si="93"/>
        <v>0</v>
      </c>
      <c r="H225" s="34">
        <f t="shared" si="93"/>
        <v>0</v>
      </c>
      <c r="I225" s="34">
        <f t="shared" si="93"/>
        <v>0</v>
      </c>
      <c r="J225" s="34">
        <f t="shared" si="93"/>
        <v>96985672</v>
      </c>
      <c r="K225" s="34">
        <f t="shared" si="93"/>
        <v>32904001</v>
      </c>
    </row>
    <row r="226" spans="1:11" x14ac:dyDescent="0.3">
      <c r="A226" s="284"/>
      <c r="B226" s="284"/>
      <c r="C226" s="35" t="s">
        <v>22</v>
      </c>
      <c r="D226" s="34">
        <f t="shared" si="92"/>
        <v>200000</v>
      </c>
      <c r="E226" s="34">
        <f t="shared" si="92"/>
        <v>200000</v>
      </c>
      <c r="F226" s="34">
        <f t="shared" si="93"/>
        <v>0</v>
      </c>
      <c r="G226" s="34">
        <f t="shared" si="93"/>
        <v>0</v>
      </c>
      <c r="H226" s="34">
        <f t="shared" si="93"/>
        <v>0</v>
      </c>
      <c r="I226" s="34">
        <f t="shared" si="93"/>
        <v>0</v>
      </c>
      <c r="J226" s="34">
        <f t="shared" si="93"/>
        <v>200000</v>
      </c>
      <c r="K226" s="34">
        <f t="shared" si="93"/>
        <v>0</v>
      </c>
    </row>
    <row r="227" spans="1:11" x14ac:dyDescent="0.3">
      <c r="A227" s="284"/>
      <c r="B227" s="284"/>
      <c r="C227" s="35" t="s">
        <v>19</v>
      </c>
      <c r="D227" s="34">
        <f t="shared" si="92"/>
        <v>13200</v>
      </c>
      <c r="E227" s="34">
        <f t="shared" si="92"/>
        <v>11554</v>
      </c>
      <c r="F227" s="34">
        <f t="shared" si="93"/>
        <v>-14</v>
      </c>
      <c r="G227" s="34">
        <f t="shared" si="93"/>
        <v>0</v>
      </c>
      <c r="H227" s="34">
        <f t="shared" si="93"/>
        <v>0</v>
      </c>
      <c r="I227" s="34">
        <f t="shared" si="93"/>
        <v>0</v>
      </c>
      <c r="J227" s="34">
        <f t="shared" si="93"/>
        <v>11540</v>
      </c>
      <c r="K227" s="34">
        <f t="shared" si="93"/>
        <v>4311</v>
      </c>
    </row>
    <row r="228" spans="1:11" x14ac:dyDescent="0.3">
      <c r="A228" s="284"/>
      <c r="B228" s="284"/>
      <c r="C228" s="35" t="s">
        <v>84</v>
      </c>
      <c r="D228" s="34">
        <f>D13+D11</f>
        <v>0</v>
      </c>
      <c r="E228" s="34">
        <f>E13+E11</f>
        <v>2539</v>
      </c>
      <c r="F228" s="34">
        <f t="shared" ref="F228:K228" si="94">F13+F11</f>
        <v>0</v>
      </c>
      <c r="G228" s="34">
        <f t="shared" si="94"/>
        <v>0</v>
      </c>
      <c r="H228" s="34">
        <f t="shared" si="94"/>
        <v>0</v>
      </c>
      <c r="I228" s="34">
        <f t="shared" si="94"/>
        <v>0</v>
      </c>
      <c r="J228" s="34">
        <f>J13+J11</f>
        <v>2539</v>
      </c>
      <c r="K228" s="34">
        <f t="shared" si="94"/>
        <v>2539</v>
      </c>
    </row>
    <row r="229" spans="1:11" x14ac:dyDescent="0.3">
      <c r="A229" s="284"/>
      <c r="B229" s="284"/>
      <c r="C229" s="33" t="s">
        <v>20</v>
      </c>
      <c r="D229" s="34">
        <f>D10+D12</f>
        <v>1000</v>
      </c>
      <c r="E229" s="34">
        <f>E10+E12</f>
        <v>107</v>
      </c>
      <c r="F229" s="34">
        <f t="shared" ref="F229:K229" si="95">F10+F12</f>
        <v>14</v>
      </c>
      <c r="G229" s="34">
        <f t="shared" si="95"/>
        <v>0</v>
      </c>
      <c r="H229" s="34">
        <f t="shared" si="95"/>
        <v>0</v>
      </c>
      <c r="I229" s="34">
        <f t="shared" si="95"/>
        <v>0</v>
      </c>
      <c r="J229" s="34">
        <f t="shared" si="95"/>
        <v>121</v>
      </c>
      <c r="K229" s="34">
        <f t="shared" si="95"/>
        <v>121</v>
      </c>
    </row>
    <row r="230" spans="1:11" x14ac:dyDescent="0.3">
      <c r="A230" s="284"/>
      <c r="B230" s="284"/>
      <c r="C230" s="63" t="s">
        <v>86</v>
      </c>
      <c r="D230" s="64">
        <f>D13+D12+D11+D10+D9</f>
        <v>14200</v>
      </c>
      <c r="E230" s="64">
        <f>E13+E12+E11+E10+E9</f>
        <v>14200</v>
      </c>
      <c r="F230" s="64">
        <f t="shared" ref="F230:K230" si="96">F13+F12+F11+F10+F9</f>
        <v>0</v>
      </c>
      <c r="G230" s="64">
        <f t="shared" si="96"/>
        <v>0</v>
      </c>
      <c r="H230" s="64">
        <f t="shared" si="96"/>
        <v>0</v>
      </c>
      <c r="I230" s="64">
        <f t="shared" si="96"/>
        <v>0</v>
      </c>
      <c r="J230" s="64">
        <f t="shared" si="96"/>
        <v>14200</v>
      </c>
      <c r="K230" s="64">
        <f t="shared" si="96"/>
        <v>6971</v>
      </c>
    </row>
    <row r="231" spans="1:11" x14ac:dyDescent="0.3">
      <c r="A231" s="284"/>
      <c r="B231" s="284"/>
      <c r="C231" s="63" t="s">
        <v>87</v>
      </c>
      <c r="D231" s="64">
        <f>D23+D21+D19+D17+D15+D7+D6</f>
        <v>112998482</v>
      </c>
      <c r="E231" s="64">
        <f>E23+E21+E19+E17+E15+E7+E6</f>
        <v>112998482</v>
      </c>
      <c r="F231" s="64">
        <f t="shared" ref="F231:K231" si="97">F23+F21+F19+F17+F15+F7+F6</f>
        <v>0</v>
      </c>
      <c r="G231" s="64">
        <f t="shared" si="97"/>
        <v>0</v>
      </c>
      <c r="H231" s="64">
        <f t="shared" si="97"/>
        <v>0</v>
      </c>
      <c r="I231" s="64">
        <f t="shared" si="97"/>
        <v>0</v>
      </c>
      <c r="J231" s="64">
        <f t="shared" si="97"/>
        <v>112998482</v>
      </c>
      <c r="K231" s="64">
        <f t="shared" si="97"/>
        <v>48916811</v>
      </c>
    </row>
    <row r="232" spans="1:11" x14ac:dyDescent="0.3">
      <c r="A232" s="284"/>
      <c r="B232" s="284"/>
      <c r="C232" s="63" t="s">
        <v>94</v>
      </c>
      <c r="D232" s="64">
        <f>D5+D6+D7+D8+D9+D10+D11+D12+D13+D14+D15+D16+D17+D18+D19+D20+D21+D22+D23</f>
        <v>230443641</v>
      </c>
      <c r="E232" s="64">
        <f t="shared" ref="E232:K232" si="98">E5+E6+E7+E8+E9+E10+E11+E12+E13+E14+E15+E16+E17+E18+E19+E20+E21+E22+E23</f>
        <v>230443641</v>
      </c>
      <c r="F232" s="64">
        <f t="shared" si="98"/>
        <v>0</v>
      </c>
      <c r="G232" s="64">
        <f t="shared" si="98"/>
        <v>0</v>
      </c>
      <c r="H232" s="64">
        <f t="shared" si="98"/>
        <v>0</v>
      </c>
      <c r="I232" s="64">
        <f t="shared" si="98"/>
        <v>0</v>
      </c>
      <c r="J232" s="64">
        <f t="shared" si="98"/>
        <v>230443641</v>
      </c>
      <c r="K232" s="64">
        <f t="shared" si="98"/>
        <v>86193877</v>
      </c>
    </row>
    <row r="233" spans="1:11" x14ac:dyDescent="0.3">
      <c r="A233" s="284"/>
      <c r="B233" s="284"/>
      <c r="C233" s="33" t="s">
        <v>24</v>
      </c>
      <c r="D233" s="34">
        <f>D89+D111+D114+D133+D136+D154+D157+D177+D198+D211+D180+D86+D84+D52+D25</f>
        <v>128356144</v>
      </c>
      <c r="E233" s="34">
        <f>E89+E111+E114+E133+E136+E154+E157+E177+E198+E211+E180+E86+E84+E52+E25</f>
        <v>128032221</v>
      </c>
      <c r="F233" s="34">
        <f t="shared" ref="F233:J233" si="99">F89+F111+F114+F133+F136+F154+F157+F177+F198+F211+F180+F86+F84+F52+F25</f>
        <v>-63177</v>
      </c>
      <c r="G233" s="34">
        <f t="shared" si="99"/>
        <v>0</v>
      </c>
      <c r="H233" s="34">
        <f t="shared" si="99"/>
        <v>0</v>
      </c>
      <c r="I233" s="34">
        <f t="shared" si="99"/>
        <v>0</v>
      </c>
      <c r="J233" s="34">
        <f t="shared" si="99"/>
        <v>127969044</v>
      </c>
      <c r="K233" s="34">
        <f>K211+K198+K180+K177+K157+K154+K136+K133+K114+K111+K89+K86+K84+K52+K25</f>
        <v>36124924</v>
      </c>
    </row>
    <row r="234" spans="1:11" x14ac:dyDescent="0.3">
      <c r="A234" s="284"/>
      <c r="B234" s="284"/>
      <c r="C234" s="33" t="s">
        <v>47</v>
      </c>
      <c r="D234" s="34">
        <f t="shared" ref="D234:K235" si="100">D53</f>
        <v>2040480</v>
      </c>
      <c r="E234" s="34">
        <f t="shared" si="100"/>
        <v>2040480</v>
      </c>
      <c r="F234" s="34">
        <f t="shared" si="100"/>
        <v>0</v>
      </c>
      <c r="G234" s="34">
        <f t="shared" si="100"/>
        <v>0</v>
      </c>
      <c r="H234" s="34">
        <f t="shared" si="100"/>
        <v>0</v>
      </c>
      <c r="I234" s="34">
        <f t="shared" si="100"/>
        <v>0</v>
      </c>
      <c r="J234" s="34">
        <f t="shared" si="100"/>
        <v>2040480</v>
      </c>
      <c r="K234" s="41">
        <f t="shared" si="100"/>
        <v>626691</v>
      </c>
    </row>
    <row r="235" spans="1:11" x14ac:dyDescent="0.3">
      <c r="A235" s="284"/>
      <c r="B235" s="284"/>
      <c r="C235" s="33" t="s">
        <v>48</v>
      </c>
      <c r="D235" s="34">
        <f t="shared" si="100"/>
        <v>0</v>
      </c>
      <c r="E235" s="34">
        <f t="shared" si="100"/>
        <v>0</v>
      </c>
      <c r="F235" s="34">
        <f t="shared" si="100"/>
        <v>0</v>
      </c>
      <c r="G235" s="34">
        <f t="shared" si="100"/>
        <v>0</v>
      </c>
      <c r="H235" s="34">
        <f t="shared" si="100"/>
        <v>0</v>
      </c>
      <c r="I235" s="34">
        <f t="shared" si="100"/>
        <v>0</v>
      </c>
      <c r="J235" s="34">
        <f t="shared" si="100"/>
        <v>0</v>
      </c>
      <c r="K235" s="34">
        <f t="shared" si="100"/>
        <v>0</v>
      </c>
    </row>
    <row r="236" spans="1:11" x14ac:dyDescent="0.3">
      <c r="A236" s="284"/>
      <c r="B236" s="284"/>
      <c r="C236" s="35" t="s">
        <v>25</v>
      </c>
      <c r="D236" s="34">
        <f t="shared" ref="D236:K237" si="101">D199+D158+D137+D115+D90+D55+D26</f>
        <v>3992000</v>
      </c>
      <c r="E236" s="34">
        <f t="shared" si="101"/>
        <v>3992000</v>
      </c>
      <c r="F236" s="34">
        <f t="shared" si="101"/>
        <v>0</v>
      </c>
      <c r="G236" s="34">
        <f t="shared" si="101"/>
        <v>0</v>
      </c>
      <c r="H236" s="34">
        <f t="shared" si="101"/>
        <v>0</v>
      </c>
      <c r="I236" s="34">
        <f t="shared" si="101"/>
        <v>0</v>
      </c>
      <c r="J236" s="34">
        <f t="shared" si="101"/>
        <v>3992000</v>
      </c>
      <c r="K236" s="34">
        <f t="shared" si="101"/>
        <v>112500</v>
      </c>
    </row>
    <row r="237" spans="1:11" x14ac:dyDescent="0.3">
      <c r="A237" s="284"/>
      <c r="B237" s="284"/>
      <c r="C237" s="35" t="s">
        <v>26</v>
      </c>
      <c r="D237" s="34">
        <f t="shared" si="101"/>
        <v>200000</v>
      </c>
      <c r="E237" s="34">
        <f t="shared" si="101"/>
        <v>200000</v>
      </c>
      <c r="F237" s="34">
        <f t="shared" si="101"/>
        <v>0</v>
      </c>
      <c r="G237" s="34">
        <f t="shared" si="101"/>
        <v>0</v>
      </c>
      <c r="H237" s="34">
        <f t="shared" si="101"/>
        <v>0</v>
      </c>
      <c r="I237" s="34">
        <f t="shared" si="101"/>
        <v>0</v>
      </c>
      <c r="J237" s="34">
        <f t="shared" si="101"/>
        <v>200000</v>
      </c>
      <c r="K237" s="34">
        <f t="shared" si="101"/>
        <v>0</v>
      </c>
    </row>
    <row r="238" spans="1:11" x14ac:dyDescent="0.3">
      <c r="A238" s="284"/>
      <c r="B238" s="284"/>
      <c r="C238" s="33" t="s">
        <v>27</v>
      </c>
      <c r="D238" s="34">
        <f>D201+D139+D92+D57+D28</f>
        <v>1661400</v>
      </c>
      <c r="E238" s="34">
        <f>E201+E139+E92+E57+E28</f>
        <v>1661400</v>
      </c>
      <c r="F238" s="34">
        <f t="shared" ref="F238:J238" si="102">F201+F139+F92+F57+F28</f>
        <v>0</v>
      </c>
      <c r="G238" s="34">
        <f t="shared" si="102"/>
        <v>0</v>
      </c>
      <c r="H238" s="34">
        <f t="shared" si="102"/>
        <v>0</v>
      </c>
      <c r="I238" s="34">
        <f t="shared" si="102"/>
        <v>0</v>
      </c>
      <c r="J238" s="34">
        <f t="shared" si="102"/>
        <v>1661400</v>
      </c>
      <c r="K238" s="34">
        <f>K201+K139+K92+K57+K28</f>
        <v>309246</v>
      </c>
    </row>
    <row r="239" spans="1:11" x14ac:dyDescent="0.3">
      <c r="A239" s="284"/>
      <c r="B239" s="284"/>
      <c r="C239" s="35" t="s">
        <v>28</v>
      </c>
      <c r="D239" s="34">
        <f>D202+D160+D140+D117+D58+D29+D93</f>
        <v>481000</v>
      </c>
      <c r="E239" s="34">
        <f>E202+E160+E140+E117+E58+E29+E93</f>
        <v>481000</v>
      </c>
      <c r="F239" s="34">
        <f t="shared" ref="F239:J239" si="103">F202+F160+F140+F117+F58+F29+F93</f>
        <v>0</v>
      </c>
      <c r="G239" s="34">
        <f t="shared" si="103"/>
        <v>0</v>
      </c>
      <c r="H239" s="34">
        <f t="shared" si="103"/>
        <v>0</v>
      </c>
      <c r="I239" s="34">
        <f t="shared" si="103"/>
        <v>0</v>
      </c>
      <c r="J239" s="34">
        <f t="shared" si="103"/>
        <v>481000</v>
      </c>
      <c r="K239" s="34">
        <f>K202+K160+K140+K117+K58+K29+K93</f>
        <v>0</v>
      </c>
    </row>
    <row r="240" spans="1:11" x14ac:dyDescent="0.3">
      <c r="A240" s="284"/>
      <c r="B240" s="284"/>
      <c r="C240" s="33" t="s">
        <v>29</v>
      </c>
      <c r="D240" s="34">
        <f>D203+D175+D161+D141+D118+D109+D94+D82+D80+D59+D30+D131</f>
        <v>3451400</v>
      </c>
      <c r="E240" s="34">
        <f>E203+E175+E161+E141+E118+E109+E94+E82+E80+E59+E30+E131</f>
        <v>3775323</v>
      </c>
      <c r="F240" s="34">
        <f t="shared" ref="F240:J240" si="104">F203+F175+F161+F141+F118+F109+F94+F82+F80+F59+F30+F131</f>
        <v>63177</v>
      </c>
      <c r="G240" s="34">
        <f t="shared" si="104"/>
        <v>0</v>
      </c>
      <c r="H240" s="34">
        <f t="shared" si="104"/>
        <v>0</v>
      </c>
      <c r="I240" s="34">
        <f t="shared" si="104"/>
        <v>0</v>
      </c>
      <c r="J240" s="34">
        <f t="shared" si="104"/>
        <v>3838500</v>
      </c>
      <c r="K240" s="34">
        <f>K203+K175+K161+K141+K118+K109+K94+K82+K80+K59+K30+K131</f>
        <v>1067980</v>
      </c>
    </row>
    <row r="241" spans="1:11" x14ac:dyDescent="0.3">
      <c r="A241" s="284"/>
      <c r="B241" s="284"/>
      <c r="C241" s="35" t="s">
        <v>30</v>
      </c>
      <c r="D241" s="34">
        <f>D162+D142+D119+D60+D31</f>
        <v>200000</v>
      </c>
      <c r="E241" s="34">
        <f>E162+E142+E119+E60+E31</f>
        <v>200000</v>
      </c>
      <c r="F241" s="34">
        <f t="shared" ref="F241:K241" si="105">F162+F142+F119+F60+F31</f>
        <v>0</v>
      </c>
      <c r="G241" s="34">
        <f t="shared" si="105"/>
        <v>0</v>
      </c>
      <c r="H241" s="34">
        <f t="shared" si="105"/>
        <v>0</v>
      </c>
      <c r="I241" s="34">
        <f t="shared" si="105"/>
        <v>0</v>
      </c>
      <c r="J241" s="34">
        <f t="shared" si="105"/>
        <v>200000</v>
      </c>
      <c r="K241" s="34">
        <f t="shared" si="105"/>
        <v>3000</v>
      </c>
    </row>
    <row r="242" spans="1:11" x14ac:dyDescent="0.3">
      <c r="A242" s="284"/>
      <c r="B242" s="284"/>
      <c r="C242" s="63" t="s">
        <v>53</v>
      </c>
      <c r="D242" s="64">
        <f>D204+D181+D163+D143+D211+D177+D154+D133+D131+D175+D120+D111+D109+D96+D86+D84+D82+D80+D61+D32</f>
        <v>140382424</v>
      </c>
      <c r="E242" s="64">
        <f>E204+E181+E163+E143+E211+E177+E154+E133+E131+E175+E120+E111+E109+E96+E86+E84+E82+E80+E61+E32</f>
        <v>140382424</v>
      </c>
      <c r="F242" s="64">
        <f t="shared" ref="F242:K242" si="106">F204+F181+F163+F143+F211+F177+F154+F133+F131+F175+F120+F111+F109+F96+F86+F84+F82+F80+F61+F32</f>
        <v>0</v>
      </c>
      <c r="G242" s="64">
        <f t="shared" si="106"/>
        <v>0</v>
      </c>
      <c r="H242" s="64">
        <f t="shared" si="106"/>
        <v>0</v>
      </c>
      <c r="I242" s="64">
        <f t="shared" si="106"/>
        <v>0</v>
      </c>
      <c r="J242" s="64">
        <f t="shared" si="106"/>
        <v>140382424</v>
      </c>
      <c r="K242" s="64">
        <f t="shared" si="106"/>
        <v>38244341</v>
      </c>
    </row>
    <row r="243" spans="1:11" x14ac:dyDescent="0.3">
      <c r="A243" s="284"/>
      <c r="B243" s="284"/>
      <c r="C243" s="65" t="s">
        <v>31</v>
      </c>
      <c r="D243" s="64">
        <f>D205+D182+D178+D176+D212+D164+D155+D144+D134+D132+D121+D112+D110+D97+D87+D85+D83+D81+D62+D33</f>
        <v>27536677</v>
      </c>
      <c r="E243" s="64">
        <f>E205+E182+E178+E176+E212+E164+E155+E144+E134+E132+E121+E112+E110+E97+E87+E85+E83+E81+E62+E33</f>
        <v>27536677</v>
      </c>
      <c r="F243" s="64">
        <f t="shared" ref="F243:K243" si="107">F205+F182+F178+F176+F212+F164+F155+F144+F134+F132+F121+F112+F110+F97+F87+F85+F83+F81+F62+F33</f>
        <v>0</v>
      </c>
      <c r="G243" s="64">
        <f t="shared" si="107"/>
        <v>0</v>
      </c>
      <c r="H243" s="64">
        <f t="shared" si="107"/>
        <v>0</v>
      </c>
      <c r="I243" s="64">
        <f t="shared" si="107"/>
        <v>0</v>
      </c>
      <c r="J243" s="64">
        <f t="shared" si="107"/>
        <v>27536677</v>
      </c>
      <c r="K243" s="64">
        <f t="shared" si="107"/>
        <v>7801534</v>
      </c>
    </row>
    <row r="244" spans="1:11" x14ac:dyDescent="0.3">
      <c r="A244" s="284"/>
      <c r="B244" s="284"/>
      <c r="C244" s="33" t="s">
        <v>32</v>
      </c>
      <c r="D244" s="34">
        <f>D165+D145+D122+D98+D63+D34</f>
        <v>540000</v>
      </c>
      <c r="E244" s="34">
        <f>E165+E145+E122+E98+E63+E34</f>
        <v>540000</v>
      </c>
      <c r="F244" s="34">
        <f t="shared" ref="F244:K244" si="108">F165+F145+F122+F98+F63+F34</f>
        <v>0</v>
      </c>
      <c r="G244" s="34">
        <f t="shared" si="108"/>
        <v>0</v>
      </c>
      <c r="H244" s="34">
        <f t="shared" si="108"/>
        <v>0</v>
      </c>
      <c r="I244" s="34">
        <f t="shared" si="108"/>
        <v>0</v>
      </c>
      <c r="J244" s="34">
        <f t="shared" si="108"/>
        <v>540000</v>
      </c>
      <c r="K244" s="34">
        <f t="shared" si="108"/>
        <v>0</v>
      </c>
    </row>
    <row r="245" spans="1:11" x14ac:dyDescent="0.3">
      <c r="A245" s="284"/>
      <c r="B245" s="284"/>
      <c r="C245" s="35" t="s">
        <v>33</v>
      </c>
      <c r="D245" s="34">
        <f>D183+D166+D146+D123+D99+D64+D35</f>
        <v>1700000</v>
      </c>
      <c r="E245" s="34">
        <f>E183+E166+E146+E123+E99+E64+E35</f>
        <v>1700000</v>
      </c>
      <c r="F245" s="34">
        <f t="shared" ref="F245:K245" si="109">F183+F166+F146+F123+F99+F64+F35</f>
        <v>0</v>
      </c>
      <c r="G245" s="34">
        <f t="shared" si="109"/>
        <v>0</v>
      </c>
      <c r="H245" s="34">
        <f t="shared" si="109"/>
        <v>0</v>
      </c>
      <c r="I245" s="34">
        <f t="shared" si="109"/>
        <v>0</v>
      </c>
      <c r="J245" s="34">
        <f t="shared" si="109"/>
        <v>1700000</v>
      </c>
      <c r="K245" s="34">
        <f t="shared" si="109"/>
        <v>21184</v>
      </c>
    </row>
    <row r="246" spans="1:11" x14ac:dyDescent="0.3">
      <c r="A246" s="284"/>
      <c r="B246" s="284"/>
      <c r="C246" s="33" t="s">
        <v>34</v>
      </c>
      <c r="D246" s="34">
        <f>D167+D147+D124+D100+D65+D36</f>
        <v>1036000</v>
      </c>
      <c r="E246" s="34">
        <f>E167+E147+E124+E100+E65+E36</f>
        <v>988000</v>
      </c>
      <c r="F246" s="34">
        <f t="shared" ref="F246:K246" si="110">F167+F147+F124+F100+F65+F36</f>
        <v>0</v>
      </c>
      <c r="G246" s="34">
        <f t="shared" si="110"/>
        <v>0</v>
      </c>
      <c r="H246" s="34">
        <f t="shared" si="110"/>
        <v>0</v>
      </c>
      <c r="I246" s="34">
        <f t="shared" si="110"/>
        <v>0</v>
      </c>
      <c r="J246" s="34">
        <f t="shared" si="110"/>
        <v>988000</v>
      </c>
      <c r="K246" s="34">
        <f t="shared" si="110"/>
        <v>53627</v>
      </c>
    </row>
    <row r="247" spans="1:11" x14ac:dyDescent="0.3">
      <c r="A247" s="284"/>
      <c r="B247" s="284"/>
      <c r="C247" s="33" t="s">
        <v>35</v>
      </c>
      <c r="D247" s="34">
        <f>D206+D168+D101+D66+D37</f>
        <v>610000</v>
      </c>
      <c r="E247" s="34">
        <f>E206+E168+E101+E66+E37</f>
        <v>610000</v>
      </c>
      <c r="F247" s="34">
        <f t="shared" ref="F247:K247" si="111">F206+F168+F101+F66+F37</f>
        <v>0</v>
      </c>
      <c r="G247" s="34">
        <f t="shared" si="111"/>
        <v>0</v>
      </c>
      <c r="H247" s="34">
        <f t="shared" si="111"/>
        <v>0</v>
      </c>
      <c r="I247" s="34">
        <f t="shared" si="111"/>
        <v>0</v>
      </c>
      <c r="J247" s="34">
        <f t="shared" si="111"/>
        <v>610000</v>
      </c>
      <c r="K247" s="34">
        <f t="shared" si="111"/>
        <v>74063</v>
      </c>
    </row>
    <row r="248" spans="1:11" x14ac:dyDescent="0.3">
      <c r="A248" s="284"/>
      <c r="B248" s="284"/>
      <c r="C248" s="33" t="s">
        <v>36</v>
      </c>
      <c r="D248" s="34">
        <f>D102+D67+D38</f>
        <v>1739080</v>
      </c>
      <c r="E248" s="34">
        <f>E102+E67+E38</f>
        <v>1739080</v>
      </c>
      <c r="F248" s="34">
        <f t="shared" ref="F248:K248" si="112">F102+F67+F38</f>
        <v>0</v>
      </c>
      <c r="G248" s="34">
        <f t="shared" si="112"/>
        <v>0</v>
      </c>
      <c r="H248" s="34">
        <f t="shared" si="112"/>
        <v>0</v>
      </c>
      <c r="I248" s="34">
        <f t="shared" si="112"/>
        <v>0</v>
      </c>
      <c r="J248" s="34">
        <f t="shared" si="112"/>
        <v>1739080</v>
      </c>
      <c r="K248" s="34">
        <f t="shared" si="112"/>
        <v>645697</v>
      </c>
    </row>
    <row r="249" spans="1:11" x14ac:dyDescent="0.3">
      <c r="A249" s="284"/>
      <c r="B249" s="284"/>
      <c r="C249" s="38" t="s">
        <v>37</v>
      </c>
      <c r="D249" s="34">
        <f>D184+D68+D39</f>
        <v>356000</v>
      </c>
      <c r="E249" s="34">
        <f>E184+E68+E39</f>
        <v>356000</v>
      </c>
      <c r="F249" s="34">
        <f t="shared" ref="F249:J249" si="113">F184+F68+F39</f>
        <v>0</v>
      </c>
      <c r="G249" s="34">
        <f t="shared" si="113"/>
        <v>0</v>
      </c>
      <c r="H249" s="34">
        <f t="shared" si="113"/>
        <v>0</v>
      </c>
      <c r="I249" s="34">
        <f t="shared" si="113"/>
        <v>0</v>
      </c>
      <c r="J249" s="34">
        <f t="shared" si="113"/>
        <v>356000</v>
      </c>
      <c r="K249" s="34">
        <f>K184+K68+K39</f>
        <v>0</v>
      </c>
    </row>
    <row r="250" spans="1:11" x14ac:dyDescent="0.3">
      <c r="A250" s="284"/>
      <c r="B250" s="284"/>
      <c r="C250" s="33" t="s">
        <v>38</v>
      </c>
      <c r="D250" s="34">
        <f>D169+D148+D125+D103+D69+D40</f>
        <v>1394000</v>
      </c>
      <c r="E250" s="34">
        <f>E169+E148+E125+E103+E69+E40</f>
        <v>1394000</v>
      </c>
      <c r="F250" s="34">
        <f t="shared" ref="F250:K250" si="114">F169+F148+F125+F103+F69+F40</f>
        <v>0</v>
      </c>
      <c r="G250" s="34">
        <f t="shared" si="114"/>
        <v>0</v>
      </c>
      <c r="H250" s="34">
        <f t="shared" si="114"/>
        <v>0</v>
      </c>
      <c r="I250" s="34">
        <f t="shared" si="114"/>
        <v>0</v>
      </c>
      <c r="J250" s="34">
        <f t="shared" si="114"/>
        <v>1394000</v>
      </c>
      <c r="K250" s="34">
        <f t="shared" si="114"/>
        <v>127792</v>
      </c>
    </row>
    <row r="251" spans="1:11" x14ac:dyDescent="0.3">
      <c r="A251" s="284"/>
      <c r="B251" s="284"/>
      <c r="C251" s="33" t="s">
        <v>39</v>
      </c>
      <c r="D251" s="34">
        <f>D41</f>
        <v>13200</v>
      </c>
      <c r="E251" s="34">
        <f>E41</f>
        <v>11554</v>
      </c>
      <c r="F251" s="34">
        <f t="shared" ref="F251:K251" si="115">F41</f>
        <v>-14</v>
      </c>
      <c r="G251" s="34">
        <f t="shared" si="115"/>
        <v>0</v>
      </c>
      <c r="H251" s="34">
        <f t="shared" si="115"/>
        <v>0</v>
      </c>
      <c r="I251" s="34">
        <f t="shared" si="115"/>
        <v>0</v>
      </c>
      <c r="J251" s="34">
        <f t="shared" si="115"/>
        <v>11540</v>
      </c>
      <c r="K251" s="34">
        <f t="shared" si="115"/>
        <v>4311</v>
      </c>
    </row>
    <row r="252" spans="1:11" x14ac:dyDescent="0.3">
      <c r="A252" s="284"/>
      <c r="B252" s="284"/>
      <c r="C252" s="36" t="s">
        <v>40</v>
      </c>
      <c r="D252" s="34">
        <f t="shared" ref="D252:K253" si="116">D185+D170+D149+D126+D104+D70+D42</f>
        <v>16415104</v>
      </c>
      <c r="E252" s="34">
        <f t="shared" si="116"/>
        <v>16415104</v>
      </c>
      <c r="F252" s="34">
        <f t="shared" si="116"/>
        <v>0</v>
      </c>
      <c r="G252" s="34">
        <f t="shared" si="116"/>
        <v>0</v>
      </c>
      <c r="H252" s="34">
        <f t="shared" si="116"/>
        <v>0</v>
      </c>
      <c r="I252" s="34">
        <f t="shared" si="116"/>
        <v>0</v>
      </c>
      <c r="J252" s="34">
        <f t="shared" si="116"/>
        <v>16415104</v>
      </c>
      <c r="K252" s="34">
        <f t="shared" si="116"/>
        <v>5438976</v>
      </c>
    </row>
    <row r="253" spans="1:11" x14ac:dyDescent="0.3">
      <c r="A253" s="284"/>
      <c r="B253" s="284"/>
      <c r="C253" s="33" t="s">
        <v>41</v>
      </c>
      <c r="D253" s="34">
        <f t="shared" si="116"/>
        <v>26876743</v>
      </c>
      <c r="E253" s="34">
        <f t="shared" si="116"/>
        <v>26926389</v>
      </c>
      <c r="F253" s="34">
        <f t="shared" si="116"/>
        <v>14</v>
      </c>
      <c r="G253" s="34">
        <f t="shared" si="116"/>
        <v>0</v>
      </c>
      <c r="H253" s="34">
        <f t="shared" si="116"/>
        <v>0</v>
      </c>
      <c r="I253" s="34">
        <f t="shared" si="116"/>
        <v>0</v>
      </c>
      <c r="J253" s="34">
        <f t="shared" si="116"/>
        <v>26926403</v>
      </c>
      <c r="K253" s="34">
        <f t="shared" si="116"/>
        <v>631055</v>
      </c>
    </row>
    <row r="254" spans="1:11" x14ac:dyDescent="0.3">
      <c r="A254" s="284"/>
      <c r="B254" s="284"/>
      <c r="C254" s="35" t="s">
        <v>42</v>
      </c>
      <c r="D254" s="34">
        <f>D207+D187+D172+D151+D128+D106+D72+D44</f>
        <v>2852000</v>
      </c>
      <c r="E254" s="34">
        <f>E207+E187+E172+E151+E128+E106+E72+E44</f>
        <v>2852000</v>
      </c>
      <c r="F254" s="34">
        <f t="shared" ref="F254:K254" si="117">F207+F187+F172+F151+F128+F106+F72+F44</f>
        <v>0</v>
      </c>
      <c r="G254" s="34">
        <f t="shared" si="117"/>
        <v>0</v>
      </c>
      <c r="H254" s="34">
        <f t="shared" si="117"/>
        <v>0</v>
      </c>
      <c r="I254" s="34">
        <f t="shared" si="117"/>
        <v>0</v>
      </c>
      <c r="J254" s="34">
        <f t="shared" si="117"/>
        <v>2852000</v>
      </c>
      <c r="K254" s="34">
        <f t="shared" si="117"/>
        <v>553530</v>
      </c>
    </row>
    <row r="255" spans="1:11" x14ac:dyDescent="0.3">
      <c r="A255" s="284"/>
      <c r="B255" s="284"/>
      <c r="C255" s="35" t="s">
        <v>43</v>
      </c>
      <c r="D255" s="34">
        <f>D45+D73+D188</f>
        <v>290000</v>
      </c>
      <c r="E255" s="34">
        <f>E45+E73+E188</f>
        <v>290000</v>
      </c>
      <c r="F255" s="34">
        <f t="shared" ref="F255:K255" si="118">F45+F73+F188</f>
        <v>0</v>
      </c>
      <c r="G255" s="34">
        <f t="shared" si="118"/>
        <v>0</v>
      </c>
      <c r="H255" s="34">
        <f t="shared" si="118"/>
        <v>0</v>
      </c>
      <c r="I255" s="34">
        <f t="shared" si="118"/>
        <v>0</v>
      </c>
      <c r="J255" s="34">
        <f t="shared" si="118"/>
        <v>290000</v>
      </c>
      <c r="K255" s="34">
        <f t="shared" si="118"/>
        <v>0</v>
      </c>
    </row>
    <row r="256" spans="1:11" x14ac:dyDescent="0.3">
      <c r="A256" s="284"/>
      <c r="B256" s="284"/>
      <c r="C256" s="33" t="s">
        <v>44</v>
      </c>
      <c r="D256" s="34">
        <f>D208+D189+D173+D152+D129+D107+D74+D46</f>
        <v>7754652</v>
      </c>
      <c r="E256" s="34">
        <f>E208+E189+E173+E152+E129+E107+E74+E46</f>
        <v>7754652</v>
      </c>
      <c r="F256" s="34">
        <f t="shared" ref="F256:K256" si="119">F208+F189+F173+F152+F129+F107+F74+F46</f>
        <v>0</v>
      </c>
      <c r="G256" s="34">
        <f t="shared" si="119"/>
        <v>0</v>
      </c>
      <c r="H256" s="34">
        <f t="shared" si="119"/>
        <v>0</v>
      </c>
      <c r="I256" s="34">
        <f t="shared" si="119"/>
        <v>0</v>
      </c>
      <c r="J256" s="34">
        <f t="shared" si="119"/>
        <v>7754652</v>
      </c>
      <c r="K256" s="34">
        <f t="shared" si="119"/>
        <v>1636119</v>
      </c>
    </row>
    <row r="257" spans="1:11" x14ac:dyDescent="0.3">
      <c r="A257" s="284"/>
      <c r="B257" s="284"/>
      <c r="C257" s="37" t="s">
        <v>45</v>
      </c>
      <c r="D257" s="34">
        <f>D209+D190+D75+D47</f>
        <v>743011</v>
      </c>
      <c r="E257" s="34">
        <f>E209+E190+E75+E47</f>
        <v>743011</v>
      </c>
      <c r="F257" s="34">
        <f t="shared" ref="F257:K257" si="120">F209+F190+F75+F47</f>
        <v>0</v>
      </c>
      <c r="G257" s="34">
        <f t="shared" si="120"/>
        <v>0</v>
      </c>
      <c r="H257" s="34">
        <f t="shared" si="120"/>
        <v>0</v>
      </c>
      <c r="I257" s="34">
        <f t="shared" si="120"/>
        <v>0</v>
      </c>
      <c r="J257" s="34">
        <f t="shared" si="120"/>
        <v>743011</v>
      </c>
      <c r="K257" s="34">
        <f t="shared" si="120"/>
        <v>201999</v>
      </c>
    </row>
    <row r="258" spans="1:11" x14ac:dyDescent="0.3">
      <c r="A258" s="284"/>
      <c r="B258" s="284"/>
      <c r="C258" s="63" t="s">
        <v>49</v>
      </c>
      <c r="D258" s="64">
        <f>D210+D191+D174+D153+D130+D108+D76+D48</f>
        <v>62319790</v>
      </c>
      <c r="E258" s="64">
        <f>E210+E191+E174+E153+E130+E108+E76+E48</f>
        <v>62319790</v>
      </c>
      <c r="F258" s="64">
        <f t="shared" ref="F258:K258" si="121">F210+F191+F174+F153+F130+F108+F76+F48</f>
        <v>0</v>
      </c>
      <c r="G258" s="64">
        <f t="shared" si="121"/>
        <v>0</v>
      </c>
      <c r="H258" s="64">
        <f t="shared" si="121"/>
        <v>0</v>
      </c>
      <c r="I258" s="64">
        <f t="shared" si="121"/>
        <v>0</v>
      </c>
      <c r="J258" s="64">
        <f t="shared" si="121"/>
        <v>62319790</v>
      </c>
      <c r="K258" s="64">
        <f t="shared" si="121"/>
        <v>9388353</v>
      </c>
    </row>
    <row r="259" spans="1:11" x14ac:dyDescent="0.3">
      <c r="A259" s="284"/>
      <c r="B259" s="284"/>
      <c r="C259" s="38" t="s">
        <v>50</v>
      </c>
      <c r="D259" s="34">
        <f t="shared" ref="D259:K261" si="122">D193+D77+D49</f>
        <v>161220</v>
      </c>
      <c r="E259" s="34">
        <f t="shared" si="122"/>
        <v>161220</v>
      </c>
      <c r="F259" s="34">
        <f t="shared" si="122"/>
        <v>0</v>
      </c>
      <c r="G259" s="34">
        <f t="shared" si="122"/>
        <v>0</v>
      </c>
      <c r="H259" s="34">
        <f t="shared" si="122"/>
        <v>0</v>
      </c>
      <c r="I259" s="34">
        <f t="shared" si="122"/>
        <v>0</v>
      </c>
      <c r="J259" s="34">
        <f t="shared" si="122"/>
        <v>161220</v>
      </c>
      <c r="K259" s="34">
        <f t="shared" si="122"/>
        <v>0</v>
      </c>
    </row>
    <row r="260" spans="1:11" x14ac:dyDescent="0.3">
      <c r="A260" s="284"/>
      <c r="B260" s="284"/>
      <c r="C260" s="37" t="s">
        <v>51</v>
      </c>
      <c r="D260" s="34">
        <f t="shared" si="122"/>
        <v>43530</v>
      </c>
      <c r="E260" s="34">
        <f t="shared" si="122"/>
        <v>43530</v>
      </c>
      <c r="F260" s="34">
        <f t="shared" si="122"/>
        <v>0</v>
      </c>
      <c r="G260" s="34">
        <f t="shared" si="122"/>
        <v>0</v>
      </c>
      <c r="H260" s="34">
        <f t="shared" si="122"/>
        <v>0</v>
      </c>
      <c r="I260" s="34">
        <f t="shared" si="122"/>
        <v>0</v>
      </c>
      <c r="J260" s="34">
        <f t="shared" si="122"/>
        <v>43530</v>
      </c>
      <c r="K260" s="34">
        <f t="shared" si="122"/>
        <v>0</v>
      </c>
    </row>
    <row r="261" spans="1:11" x14ac:dyDescent="0.3">
      <c r="A261" s="284"/>
      <c r="B261" s="284"/>
      <c r="C261" s="63" t="s">
        <v>52</v>
      </c>
      <c r="D261" s="66">
        <f t="shared" si="122"/>
        <v>204750</v>
      </c>
      <c r="E261" s="66">
        <f t="shared" si="122"/>
        <v>204750</v>
      </c>
      <c r="F261" s="66">
        <f t="shared" si="122"/>
        <v>0</v>
      </c>
      <c r="G261" s="66">
        <f t="shared" si="122"/>
        <v>0</v>
      </c>
      <c r="H261" s="66">
        <f t="shared" si="122"/>
        <v>0</v>
      </c>
      <c r="I261" s="66">
        <f t="shared" si="122"/>
        <v>0</v>
      </c>
      <c r="J261" s="66">
        <f t="shared" si="122"/>
        <v>204750</v>
      </c>
      <c r="K261" s="66">
        <f t="shared" si="122"/>
        <v>0</v>
      </c>
    </row>
    <row r="262" spans="1:11" x14ac:dyDescent="0.3">
      <c r="A262" s="284"/>
      <c r="B262" s="284"/>
      <c r="C262" s="67" t="s">
        <v>88</v>
      </c>
      <c r="D262" s="68">
        <f>D261+D258+D243+D242</f>
        <v>230443641</v>
      </c>
      <c r="E262" s="68">
        <f>E261+E258+E243+E242</f>
        <v>230443641</v>
      </c>
      <c r="F262" s="68">
        <f t="shared" ref="F262:K262" si="123">F261+F258+F243+F242</f>
        <v>0</v>
      </c>
      <c r="G262" s="68">
        <f t="shared" si="123"/>
        <v>0</v>
      </c>
      <c r="H262" s="68">
        <f t="shared" si="123"/>
        <v>0</v>
      </c>
      <c r="I262" s="68">
        <f t="shared" si="123"/>
        <v>0</v>
      </c>
      <c r="J262" s="68">
        <f t="shared" si="123"/>
        <v>230443641</v>
      </c>
      <c r="K262" s="68">
        <f t="shared" si="123"/>
        <v>55434228</v>
      </c>
    </row>
    <row r="263" spans="1:11" x14ac:dyDescent="0.3">
      <c r="B263" s="5"/>
      <c r="E263" s="4"/>
      <c r="F263" s="4"/>
      <c r="G263" s="4"/>
      <c r="H263" s="4"/>
      <c r="I263" s="4"/>
      <c r="J263" s="4"/>
      <c r="K263" s="39"/>
    </row>
    <row r="264" spans="1:11" x14ac:dyDescent="0.3">
      <c r="B264" s="5"/>
      <c r="E264" s="4"/>
      <c r="F264" s="4"/>
      <c r="G264" s="4"/>
      <c r="H264" s="4"/>
      <c r="I264" s="4"/>
      <c r="J264" s="4"/>
      <c r="K264" s="39"/>
    </row>
  </sheetData>
  <autoFilter ref="A4:L214" xr:uid="{00000000-0009-0000-0000-000001000000}"/>
  <mergeCells count="74">
    <mergeCell ref="A222:B262"/>
    <mergeCell ref="A179:C179"/>
    <mergeCell ref="A180:A196"/>
    <mergeCell ref="B180:B196"/>
    <mergeCell ref="A197:C197"/>
    <mergeCell ref="A198:A210"/>
    <mergeCell ref="B198:B210"/>
    <mergeCell ref="A211:A212"/>
    <mergeCell ref="B211:B212"/>
    <mergeCell ref="A213:C213"/>
    <mergeCell ref="A214:C214"/>
    <mergeCell ref="A221:K221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E3:E4"/>
    <mergeCell ref="F3:I3"/>
    <mergeCell ref="J3:J4"/>
    <mergeCell ref="K3:K4"/>
    <mergeCell ref="L3:L4"/>
    <mergeCell ref="D3:D4"/>
  </mergeCells>
  <pageMargins left="0.70866141732283472" right="0.70866141732283472" top="0.74803149606299213" bottom="0.74803149606299213" header="0.31496062992125984" footer="0.31496062992125984"/>
  <pageSetup paperSize="8" scale="95" orientation="landscape" r:id="rId1"/>
  <rowBreaks count="6" manualBreakCount="6">
    <brk id="24" max="16383" man="1"/>
    <brk id="62" max="16383" man="1"/>
    <brk id="113" max="16383" man="1"/>
    <brk id="156" max="16383" man="1"/>
    <brk id="197" max="16383" man="1"/>
    <brk id="21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8"/>
  <sheetViews>
    <sheetView workbookViewId="0">
      <pane xSplit="2" ySplit="4" topLeftCell="C209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42.6640625" customWidth="1"/>
    <col min="3" max="3" width="7.6640625" customWidth="1"/>
    <col min="4" max="5" width="13.6640625" customWidth="1"/>
    <col min="6" max="6" width="10.33203125" customWidth="1"/>
    <col min="7" max="9" width="10.33203125" bestFit="1" customWidth="1"/>
    <col min="10" max="10" width="13.88671875" bestFit="1" customWidth="1"/>
    <col min="11" max="11" width="16.44140625" style="118" customWidth="1"/>
    <col min="12" max="12" width="13.88671875" customWidth="1"/>
  </cols>
  <sheetData>
    <row r="1" spans="1:12" ht="21" x14ac:dyDescent="0.3">
      <c r="A1" s="302" t="s">
        <v>0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</row>
    <row r="2" spans="1:12" x14ac:dyDescent="0.3">
      <c r="B2" s="5"/>
      <c r="E2" s="4"/>
      <c r="F2" s="4"/>
      <c r="G2" s="4"/>
      <c r="H2" s="4"/>
      <c r="I2" s="4"/>
      <c r="J2" s="4"/>
      <c r="K2" s="107"/>
    </row>
    <row r="3" spans="1:12" ht="15" customHeight="1" x14ac:dyDescent="0.3">
      <c r="A3" s="303" t="s">
        <v>1</v>
      </c>
      <c r="B3" s="305" t="s">
        <v>2</v>
      </c>
      <c r="C3" s="303" t="s">
        <v>3</v>
      </c>
      <c r="D3" s="303" t="s">
        <v>4</v>
      </c>
      <c r="E3" s="307" t="s">
        <v>90</v>
      </c>
      <c r="F3" s="309" t="s">
        <v>98</v>
      </c>
      <c r="G3" s="310"/>
      <c r="H3" s="310"/>
      <c r="I3" s="311"/>
      <c r="J3" s="312" t="s">
        <v>96</v>
      </c>
      <c r="K3" s="314" t="s">
        <v>95</v>
      </c>
      <c r="L3" s="315" t="s">
        <v>92</v>
      </c>
    </row>
    <row r="4" spans="1:12" ht="30.6" x14ac:dyDescent="0.3">
      <c r="A4" s="304"/>
      <c r="B4" s="306"/>
      <c r="C4" s="304"/>
      <c r="D4" s="304"/>
      <c r="E4" s="308"/>
      <c r="F4" s="119" t="s">
        <v>70</v>
      </c>
      <c r="G4" s="104" t="s">
        <v>103</v>
      </c>
      <c r="H4" s="104" t="s">
        <v>101</v>
      </c>
      <c r="I4" s="76" t="s">
        <v>71</v>
      </c>
      <c r="J4" s="313"/>
      <c r="K4" s="314"/>
      <c r="L4" s="315"/>
    </row>
    <row r="5" spans="1:12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v>54810810</v>
      </c>
      <c r="F5" s="3"/>
      <c r="G5" s="3"/>
      <c r="H5" s="3">
        <v>38009</v>
      </c>
      <c r="I5" s="3"/>
      <c r="J5" s="20">
        <f>E5+F5+G5+H5+I5</f>
        <v>54848819</v>
      </c>
      <c r="K5" s="108">
        <v>18320271</v>
      </c>
      <c r="L5" s="3">
        <f>J5-K5</f>
        <v>36528548</v>
      </c>
    </row>
    <row r="6" spans="1:12" x14ac:dyDescent="0.3">
      <c r="A6" s="285"/>
      <c r="B6" s="261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08">
        <v>7273070</v>
      </c>
      <c r="L6" s="3">
        <f t="shared" ref="L6:L23" si="1">J6-K6</f>
        <v>0</v>
      </c>
    </row>
    <row r="7" spans="1:12" x14ac:dyDescent="0.3">
      <c r="A7" s="285"/>
      <c r="B7" s="261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08">
        <v>41271953</v>
      </c>
      <c r="L7" s="3">
        <f t="shared" si="1"/>
        <v>55713719</v>
      </c>
    </row>
    <row r="8" spans="1:12" x14ac:dyDescent="0.3">
      <c r="A8" s="285"/>
      <c r="B8" s="264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08">
        <v>0</v>
      </c>
      <c r="L8" s="3">
        <f t="shared" si="1"/>
        <v>200000</v>
      </c>
    </row>
    <row r="9" spans="1:12" x14ac:dyDescent="0.3">
      <c r="A9" s="285"/>
      <c r="B9" s="268"/>
      <c r="C9" s="2" t="s">
        <v>19</v>
      </c>
      <c r="D9" s="3">
        <v>13200</v>
      </c>
      <c r="E9" s="3">
        <v>11540</v>
      </c>
      <c r="F9" s="3"/>
      <c r="G9" s="3">
        <v>5000</v>
      </c>
      <c r="H9" s="3"/>
      <c r="I9" s="3"/>
      <c r="J9" s="20">
        <f t="shared" si="0"/>
        <v>16540</v>
      </c>
      <c r="K9" s="108">
        <v>5379</v>
      </c>
      <c r="L9" s="3">
        <f t="shared" si="1"/>
        <v>11161</v>
      </c>
    </row>
    <row r="10" spans="1:12" x14ac:dyDescent="0.3">
      <c r="A10" s="285"/>
      <c r="B10" s="268"/>
      <c r="C10" s="2" t="s">
        <v>20</v>
      </c>
      <c r="D10" s="3">
        <v>500</v>
      </c>
      <c r="E10" s="3">
        <v>61</v>
      </c>
      <c r="F10" s="3">
        <v>150</v>
      </c>
      <c r="G10" s="3"/>
      <c r="H10" s="3"/>
      <c r="I10" s="3"/>
      <c r="J10" s="20">
        <f t="shared" si="0"/>
        <v>211</v>
      </c>
      <c r="K10" s="108">
        <v>87</v>
      </c>
      <c r="L10" s="3">
        <f t="shared" si="1"/>
        <v>124</v>
      </c>
    </row>
    <row r="11" spans="1:12" x14ac:dyDescent="0.3">
      <c r="A11" s="285"/>
      <c r="B11" s="265"/>
      <c r="C11" s="2" t="s">
        <v>84</v>
      </c>
      <c r="D11" s="3">
        <v>0</v>
      </c>
      <c r="E11" s="3">
        <v>2538</v>
      </c>
      <c r="F11" s="3">
        <v>-300</v>
      </c>
      <c r="G11" s="3">
        <v>7000</v>
      </c>
      <c r="H11" s="3"/>
      <c r="I11" s="3"/>
      <c r="J11" s="20">
        <f t="shared" si="0"/>
        <v>9238</v>
      </c>
      <c r="K11" s="108">
        <v>3234</v>
      </c>
      <c r="L11" s="3">
        <f t="shared" si="1"/>
        <v>6004</v>
      </c>
    </row>
    <row r="12" spans="1:12" x14ac:dyDescent="0.3">
      <c r="A12" s="285"/>
      <c r="B12" s="264">
        <v>104043</v>
      </c>
      <c r="C12" s="2" t="s">
        <v>20</v>
      </c>
      <c r="D12" s="3">
        <v>500</v>
      </c>
      <c r="E12" s="3">
        <v>60</v>
      </c>
      <c r="F12" s="3">
        <v>150</v>
      </c>
      <c r="G12" s="3"/>
      <c r="H12" s="3"/>
      <c r="I12" s="3"/>
      <c r="J12" s="20">
        <f t="shared" si="0"/>
        <v>210</v>
      </c>
      <c r="K12" s="108">
        <v>86</v>
      </c>
      <c r="L12" s="3">
        <f t="shared" si="1"/>
        <v>124</v>
      </c>
    </row>
    <row r="13" spans="1:12" x14ac:dyDescent="0.3">
      <c r="A13" s="263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08">
        <v>1</v>
      </c>
      <c r="L13" s="3">
        <f t="shared" si="1"/>
        <v>0</v>
      </c>
    </row>
    <row r="14" spans="1:12" x14ac:dyDescent="0.3">
      <c r="A14" s="254" t="s">
        <v>7</v>
      </c>
      <c r="B14" s="261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08">
        <v>74405</v>
      </c>
      <c r="L14" s="3">
        <f t="shared" si="1"/>
        <v>171577</v>
      </c>
    </row>
    <row r="15" spans="1:12" x14ac:dyDescent="0.3">
      <c r="A15" s="254"/>
      <c r="B15" s="261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08">
        <v>1005557</v>
      </c>
      <c r="L15" s="3">
        <f t="shared" si="1"/>
        <v>0</v>
      </c>
    </row>
    <row r="16" spans="1:12" x14ac:dyDescent="0.3">
      <c r="A16" s="254" t="s">
        <v>8</v>
      </c>
      <c r="B16" s="261" t="s">
        <v>21</v>
      </c>
      <c r="C16" s="2" t="s">
        <v>16</v>
      </c>
      <c r="D16" s="3">
        <v>3086953</v>
      </c>
      <c r="E16" s="3">
        <v>3086953</v>
      </c>
      <c r="F16" s="3"/>
      <c r="G16" s="3"/>
      <c r="H16" s="3">
        <v>16751</v>
      </c>
      <c r="I16" s="3"/>
      <c r="J16" s="20">
        <f t="shared" si="0"/>
        <v>3103704</v>
      </c>
      <c r="K16" s="108">
        <v>771738</v>
      </c>
      <c r="L16" s="3">
        <f t="shared" si="1"/>
        <v>2331966</v>
      </c>
    </row>
    <row r="17" spans="1:12" x14ac:dyDescent="0.3">
      <c r="A17" s="254"/>
      <c r="B17" s="261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08">
        <v>440959</v>
      </c>
      <c r="L17" s="3">
        <f t="shared" si="1"/>
        <v>0</v>
      </c>
    </row>
    <row r="18" spans="1:12" x14ac:dyDescent="0.3">
      <c r="A18" s="254" t="s">
        <v>9</v>
      </c>
      <c r="B18" s="261" t="s">
        <v>21</v>
      </c>
      <c r="C18" s="2" t="s">
        <v>16</v>
      </c>
      <c r="D18" s="3">
        <v>1403439</v>
      </c>
      <c r="E18" s="3">
        <v>1403439</v>
      </c>
      <c r="F18" s="3"/>
      <c r="G18" s="3"/>
      <c r="H18" s="3">
        <v>11448</v>
      </c>
      <c r="I18" s="3"/>
      <c r="J18" s="20">
        <f t="shared" si="0"/>
        <v>1414887</v>
      </c>
      <c r="K18" s="108">
        <v>362308</v>
      </c>
      <c r="L18" s="3">
        <f t="shared" si="1"/>
        <v>1052579</v>
      </c>
    </row>
    <row r="19" spans="1:12" x14ac:dyDescent="0.3">
      <c r="A19" s="254"/>
      <c r="B19" s="261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08">
        <v>599759</v>
      </c>
      <c r="L19" s="3">
        <f t="shared" si="1"/>
        <v>0</v>
      </c>
    </row>
    <row r="20" spans="1:12" x14ac:dyDescent="0.3">
      <c r="A20" s="262" t="s">
        <v>54</v>
      </c>
      <c r="B20" s="264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08">
        <v>1014096</v>
      </c>
      <c r="L20" s="3">
        <f t="shared" si="1"/>
        <v>3042287</v>
      </c>
    </row>
    <row r="21" spans="1:12" x14ac:dyDescent="0.3">
      <c r="A21" s="263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08">
        <v>226299</v>
      </c>
      <c r="L21" s="3">
        <f t="shared" si="1"/>
        <v>0</v>
      </c>
    </row>
    <row r="22" spans="1:12" x14ac:dyDescent="0.3">
      <c r="A22" s="254" t="s">
        <v>10</v>
      </c>
      <c r="B22" s="261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08">
        <v>16810012</v>
      </c>
      <c r="L22" s="3">
        <f t="shared" si="1"/>
        <v>36817380</v>
      </c>
    </row>
    <row r="23" spans="1:12" x14ac:dyDescent="0.3">
      <c r="A23" s="254"/>
      <c r="B23" s="261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08">
        <v>6467166</v>
      </c>
      <c r="L23" s="3">
        <f t="shared" si="1"/>
        <v>0</v>
      </c>
    </row>
    <row r="24" spans="1:12" ht="30" customHeight="1" x14ac:dyDescent="0.3">
      <c r="A24" s="316" t="s">
        <v>73</v>
      </c>
      <c r="B24" s="317"/>
      <c r="C24" s="318"/>
      <c r="D24" s="77">
        <f t="shared" ref="D24:L24" si="2">SUM(D5:D23)</f>
        <v>230443641</v>
      </c>
      <c r="E24" s="77">
        <f t="shared" si="2"/>
        <v>230443641</v>
      </c>
      <c r="F24" s="77">
        <f t="shared" si="2"/>
        <v>0</v>
      </c>
      <c r="G24" s="77">
        <f t="shared" si="2"/>
        <v>12000</v>
      </c>
      <c r="H24" s="77">
        <f t="shared" si="2"/>
        <v>66208</v>
      </c>
      <c r="I24" s="77">
        <f t="shared" si="2"/>
        <v>0</v>
      </c>
      <c r="J24" s="77">
        <f t="shared" si="2"/>
        <v>230521849</v>
      </c>
      <c r="K24" s="109">
        <f t="shared" si="2"/>
        <v>94646380</v>
      </c>
      <c r="L24" s="77">
        <f t="shared" si="2"/>
        <v>135875469</v>
      </c>
    </row>
    <row r="25" spans="1:12" x14ac:dyDescent="0.3">
      <c r="A25" s="254" t="s">
        <v>11</v>
      </c>
      <c r="B25" s="264" t="s">
        <v>23</v>
      </c>
      <c r="C25" s="2" t="s">
        <v>24</v>
      </c>
      <c r="D25" s="3">
        <v>35883092</v>
      </c>
      <c r="E25" s="3">
        <v>35791184</v>
      </c>
      <c r="F25" s="3">
        <f>-26770-60000</f>
        <v>-86770</v>
      </c>
      <c r="G25" s="3"/>
      <c r="H25" s="3">
        <v>11870</v>
      </c>
      <c r="I25" s="3"/>
      <c r="J25" s="20">
        <f t="shared" ref="J25:J31" si="3">E25+F25+G25+H25+I25</f>
        <v>35716284</v>
      </c>
      <c r="K25" s="108">
        <v>13037510</v>
      </c>
      <c r="L25" s="3">
        <f t="shared" ref="L25:L31" si="4">J25-K25</f>
        <v>22678774</v>
      </c>
    </row>
    <row r="26" spans="1:12" x14ac:dyDescent="0.3">
      <c r="A26" s="254"/>
      <c r="B26" s="268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08">
        <v>725000</v>
      </c>
      <c r="L26" s="3">
        <f t="shared" si="4"/>
        <v>817000</v>
      </c>
    </row>
    <row r="27" spans="1:12" x14ac:dyDescent="0.3">
      <c r="A27" s="254"/>
      <c r="B27" s="268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08">
        <v>0</v>
      </c>
      <c r="L27" s="3">
        <f t="shared" si="4"/>
        <v>80000</v>
      </c>
    </row>
    <row r="28" spans="1:12" x14ac:dyDescent="0.3">
      <c r="A28" s="254"/>
      <c r="B28" s="268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3"/>
        <v>893400</v>
      </c>
      <c r="K28" s="108">
        <v>260830</v>
      </c>
      <c r="L28" s="3">
        <f t="shared" si="4"/>
        <v>632570</v>
      </c>
    </row>
    <row r="29" spans="1:12" x14ac:dyDescent="0.3">
      <c r="A29" s="254"/>
      <c r="B29" s="268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08">
        <v>93000</v>
      </c>
      <c r="L29" s="3">
        <f t="shared" si="4"/>
        <v>97000</v>
      </c>
    </row>
    <row r="30" spans="1:12" x14ac:dyDescent="0.3">
      <c r="A30" s="254"/>
      <c r="B30" s="268"/>
      <c r="C30" s="2" t="s">
        <v>29</v>
      </c>
      <c r="D30" s="3">
        <v>1086500</v>
      </c>
      <c r="E30" s="3">
        <v>1178408</v>
      </c>
      <c r="F30" s="3">
        <f>26770+60000</f>
        <v>86770</v>
      </c>
      <c r="G30" s="3"/>
      <c r="H30" s="3"/>
      <c r="I30" s="3"/>
      <c r="J30" s="20">
        <f t="shared" si="3"/>
        <v>1265178</v>
      </c>
      <c r="K30" s="108">
        <v>314491</v>
      </c>
      <c r="L30" s="3">
        <f t="shared" si="4"/>
        <v>950687</v>
      </c>
    </row>
    <row r="31" spans="1:12" x14ac:dyDescent="0.3">
      <c r="A31" s="254"/>
      <c r="B31" s="268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08">
        <v>1500</v>
      </c>
      <c r="L31" s="3">
        <f t="shared" si="4"/>
        <v>98500</v>
      </c>
    </row>
    <row r="32" spans="1:12" x14ac:dyDescent="0.3">
      <c r="A32" s="254"/>
      <c r="B32" s="268"/>
      <c r="C32" s="6" t="s">
        <v>53</v>
      </c>
      <c r="D32" s="7">
        <f>SUM(D25:D31)</f>
        <v>39774992</v>
      </c>
      <c r="E32" s="7">
        <v>39774992</v>
      </c>
      <c r="F32" s="7">
        <f t="shared" ref="F32:L32" si="5">SUM(F25:F31)</f>
        <v>0</v>
      </c>
      <c r="G32" s="7">
        <f t="shared" si="5"/>
        <v>0</v>
      </c>
      <c r="H32" s="7">
        <f t="shared" si="5"/>
        <v>11870</v>
      </c>
      <c r="I32" s="7">
        <f t="shared" si="5"/>
        <v>0</v>
      </c>
      <c r="J32" s="7">
        <f t="shared" si="5"/>
        <v>39786862</v>
      </c>
      <c r="K32" s="110">
        <f t="shared" si="5"/>
        <v>14432331</v>
      </c>
      <c r="L32" s="7">
        <f t="shared" si="5"/>
        <v>25354531</v>
      </c>
    </row>
    <row r="33" spans="1:12" x14ac:dyDescent="0.3">
      <c r="A33" s="254"/>
      <c r="B33" s="268"/>
      <c r="C33" s="82" t="s">
        <v>31</v>
      </c>
      <c r="D33" s="83">
        <v>7793417</v>
      </c>
      <c r="E33" s="83">
        <v>7793417</v>
      </c>
      <c r="F33" s="83"/>
      <c r="G33" s="83"/>
      <c r="H33" s="83">
        <v>2315</v>
      </c>
      <c r="I33" s="83"/>
      <c r="J33" s="84">
        <f t="shared" ref="J33:J47" si="6">E33+F33+G33+H33+I33</f>
        <v>7795732</v>
      </c>
      <c r="K33" s="111">
        <v>2986891</v>
      </c>
      <c r="L33" s="85">
        <f t="shared" ref="L33:L47" si="7">J33-K33</f>
        <v>4808841</v>
      </c>
    </row>
    <row r="34" spans="1:12" x14ac:dyDescent="0.3">
      <c r="A34" s="254"/>
      <c r="B34" s="268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08">
        <v>17779</v>
      </c>
      <c r="L34" s="3">
        <f t="shared" si="7"/>
        <v>87221</v>
      </c>
    </row>
    <row r="35" spans="1:12" x14ac:dyDescent="0.3">
      <c r="A35" s="254"/>
      <c r="B35" s="268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08">
        <v>0</v>
      </c>
      <c r="L35" s="3">
        <f t="shared" si="7"/>
        <v>500000</v>
      </c>
    </row>
    <row r="36" spans="1:12" x14ac:dyDescent="0.3">
      <c r="A36" s="254"/>
      <c r="B36" s="268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08">
        <v>52493</v>
      </c>
      <c r="L36" s="3">
        <f t="shared" si="7"/>
        <v>160507</v>
      </c>
    </row>
    <row r="37" spans="1:12" x14ac:dyDescent="0.3">
      <c r="A37" s="254"/>
      <c r="B37" s="268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08">
        <v>27395</v>
      </c>
      <c r="L37" s="3">
        <f t="shared" si="7"/>
        <v>134605</v>
      </c>
    </row>
    <row r="38" spans="1:12" x14ac:dyDescent="0.3">
      <c r="A38" s="254"/>
      <c r="B38" s="268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08">
        <v>292784</v>
      </c>
      <c r="L38" s="3">
        <f t="shared" si="7"/>
        <v>276756</v>
      </c>
    </row>
    <row r="39" spans="1:12" x14ac:dyDescent="0.3">
      <c r="A39" s="254"/>
      <c r="B39" s="268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08">
        <v>0</v>
      </c>
      <c r="L39" s="3">
        <f t="shared" si="7"/>
        <v>3000</v>
      </c>
    </row>
    <row r="40" spans="1:12" x14ac:dyDescent="0.3">
      <c r="A40" s="254"/>
      <c r="B40" s="268"/>
      <c r="C40" s="2" t="s">
        <v>38</v>
      </c>
      <c r="D40" s="3">
        <v>460000</v>
      </c>
      <c r="E40" s="3">
        <v>460000</v>
      </c>
      <c r="F40" s="3">
        <v>-3500</v>
      </c>
      <c r="G40" s="3"/>
      <c r="H40" s="3"/>
      <c r="I40" s="3"/>
      <c r="J40" s="20">
        <f t="shared" si="6"/>
        <v>456500</v>
      </c>
      <c r="K40" s="108">
        <v>88911</v>
      </c>
      <c r="L40" s="3">
        <f t="shared" si="7"/>
        <v>367589</v>
      </c>
    </row>
    <row r="41" spans="1:12" x14ac:dyDescent="0.3">
      <c r="A41" s="254"/>
      <c r="B41" s="268"/>
      <c r="C41" s="2" t="s">
        <v>39</v>
      </c>
      <c r="D41" s="3">
        <v>13200</v>
      </c>
      <c r="E41" s="3">
        <v>11540</v>
      </c>
      <c r="F41" s="3"/>
      <c r="G41" s="3">
        <v>5000</v>
      </c>
      <c r="H41" s="3"/>
      <c r="I41" s="3"/>
      <c r="J41" s="20">
        <f t="shared" si="6"/>
        <v>16540</v>
      </c>
      <c r="K41" s="108">
        <v>5379</v>
      </c>
      <c r="L41" s="3">
        <f t="shared" si="7"/>
        <v>11161</v>
      </c>
    </row>
    <row r="42" spans="1:12" x14ac:dyDescent="0.3">
      <c r="A42" s="254"/>
      <c r="B42" s="268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08">
        <v>26300</v>
      </c>
      <c r="L42" s="3">
        <f t="shared" si="7"/>
        <v>111500</v>
      </c>
    </row>
    <row r="43" spans="1:12" x14ac:dyDescent="0.3">
      <c r="A43" s="254"/>
      <c r="B43" s="268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08">
        <v>311964</v>
      </c>
      <c r="L43" s="3">
        <f t="shared" si="7"/>
        <v>271932</v>
      </c>
    </row>
    <row r="44" spans="1:12" x14ac:dyDescent="0.3">
      <c r="A44" s="254"/>
      <c r="B44" s="268"/>
      <c r="C44" s="2" t="s">
        <v>42</v>
      </c>
      <c r="D44" s="3">
        <v>552000</v>
      </c>
      <c r="E44" s="3">
        <v>539440</v>
      </c>
      <c r="F44" s="3"/>
      <c r="G44" s="3"/>
      <c r="H44" s="3"/>
      <c r="I44" s="3"/>
      <c r="J44" s="20">
        <f t="shared" si="6"/>
        <v>539440</v>
      </c>
      <c r="K44" s="108">
        <v>170570</v>
      </c>
      <c r="L44" s="3">
        <f t="shared" si="7"/>
        <v>368870</v>
      </c>
    </row>
    <row r="45" spans="1:12" x14ac:dyDescent="0.3">
      <c r="A45" s="254"/>
      <c r="B45" s="268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08">
        <v>0</v>
      </c>
      <c r="L45" s="3">
        <f t="shared" si="7"/>
        <v>30000</v>
      </c>
    </row>
    <row r="46" spans="1:12" x14ac:dyDescent="0.3">
      <c r="A46" s="254"/>
      <c r="B46" s="268"/>
      <c r="C46" s="2" t="s">
        <v>44</v>
      </c>
      <c r="D46" s="3">
        <v>455834</v>
      </c>
      <c r="E46" s="3">
        <v>455834</v>
      </c>
      <c r="F46" s="3">
        <v>-237399</v>
      </c>
      <c r="G46" s="3"/>
      <c r="H46" s="3"/>
      <c r="I46" s="3"/>
      <c r="J46" s="20">
        <f t="shared" si="6"/>
        <v>218435</v>
      </c>
      <c r="K46" s="108">
        <v>80394</v>
      </c>
      <c r="L46" s="3">
        <f t="shared" si="7"/>
        <v>138041</v>
      </c>
    </row>
    <row r="47" spans="1:12" x14ac:dyDescent="0.3">
      <c r="A47" s="254"/>
      <c r="B47" s="268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08">
        <v>32520</v>
      </c>
      <c r="L47" s="3">
        <f t="shared" si="7"/>
        <v>43244</v>
      </c>
    </row>
    <row r="48" spans="1:12" x14ac:dyDescent="0.3">
      <c r="A48" s="254"/>
      <c r="B48" s="268"/>
      <c r="C48" s="6" t="s">
        <v>49</v>
      </c>
      <c r="D48" s="7">
        <f>SUM(D34:D47)</f>
        <v>3863610</v>
      </c>
      <c r="E48" s="7">
        <v>3859374</v>
      </c>
      <c r="F48" s="7">
        <f t="shared" ref="F48:L48" si="8">SUM(F34:F47)</f>
        <v>-240899</v>
      </c>
      <c r="G48" s="7">
        <f t="shared" si="8"/>
        <v>5000</v>
      </c>
      <c r="H48" s="7">
        <f t="shared" si="8"/>
        <v>0</v>
      </c>
      <c r="I48" s="7">
        <f t="shared" si="8"/>
        <v>0</v>
      </c>
      <c r="J48" s="7">
        <f t="shared" si="8"/>
        <v>3610915</v>
      </c>
      <c r="K48" s="110">
        <f t="shared" si="8"/>
        <v>1106489</v>
      </c>
      <c r="L48" s="7">
        <f t="shared" si="8"/>
        <v>2504426</v>
      </c>
    </row>
    <row r="49" spans="1:12" x14ac:dyDescent="0.3">
      <c r="A49" s="254"/>
      <c r="B49" s="268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08">
        <v>0</v>
      </c>
      <c r="L49" s="3">
        <f t="shared" ref="L49:L50" si="10">J49-K49</f>
        <v>78740</v>
      </c>
    </row>
    <row r="50" spans="1:12" x14ac:dyDescent="0.3">
      <c r="A50" s="254"/>
      <c r="B50" s="268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08">
        <v>0</v>
      </c>
      <c r="L50" s="3">
        <f t="shared" si="10"/>
        <v>21260</v>
      </c>
    </row>
    <row r="51" spans="1:12" x14ac:dyDescent="0.3">
      <c r="A51" s="254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0">
        <f t="shared" si="11"/>
        <v>0</v>
      </c>
      <c r="L51" s="7">
        <f t="shared" si="11"/>
        <v>100000</v>
      </c>
    </row>
    <row r="52" spans="1:12" x14ac:dyDescent="0.3">
      <c r="A52" s="254"/>
      <c r="B52" s="261" t="s">
        <v>46</v>
      </c>
      <c r="C52" s="2" t="s">
        <v>24</v>
      </c>
      <c r="D52" s="3">
        <v>25123345</v>
      </c>
      <c r="E52" s="3">
        <v>25123345</v>
      </c>
      <c r="F52" s="3"/>
      <c r="G52" s="3"/>
      <c r="H52" s="3">
        <v>19936</v>
      </c>
      <c r="I52" s="3"/>
      <c r="J52" s="20">
        <f t="shared" ref="J52:J60" si="12">E52+F52+G52+H52+I52</f>
        <v>25143281</v>
      </c>
      <c r="K52" s="108">
        <v>9499281</v>
      </c>
      <c r="L52" s="3">
        <f t="shared" ref="L52:L60" si="13">J52-K52</f>
        <v>15644000</v>
      </c>
    </row>
    <row r="53" spans="1:12" x14ac:dyDescent="0.3">
      <c r="A53" s="254"/>
      <c r="B53" s="261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08">
        <v>785829</v>
      </c>
      <c r="L53" s="3">
        <f t="shared" si="13"/>
        <v>1254651</v>
      </c>
    </row>
    <row r="54" spans="1:12" x14ac:dyDescent="0.3">
      <c r="A54" s="254"/>
      <c r="B54" s="261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08">
        <v>0</v>
      </c>
      <c r="L54" s="3">
        <f t="shared" si="13"/>
        <v>0</v>
      </c>
    </row>
    <row r="55" spans="1:12" x14ac:dyDescent="0.3">
      <c r="A55" s="254"/>
      <c r="B55" s="261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08">
        <v>450000</v>
      </c>
      <c r="L55" s="3">
        <f t="shared" si="13"/>
        <v>575000</v>
      </c>
    </row>
    <row r="56" spans="1:12" x14ac:dyDescent="0.3">
      <c r="A56" s="254"/>
      <c r="B56" s="261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08">
        <v>0</v>
      </c>
      <c r="L56" s="3">
        <f t="shared" si="13"/>
        <v>60000</v>
      </c>
    </row>
    <row r="57" spans="1:12" x14ac:dyDescent="0.3">
      <c r="A57" s="254"/>
      <c r="B57" s="261"/>
      <c r="C57" s="2" t="s">
        <v>27</v>
      </c>
      <c r="D57" s="3">
        <v>240000</v>
      </c>
      <c r="E57" s="3">
        <v>240000</v>
      </c>
      <c r="F57" s="3"/>
      <c r="G57" s="3"/>
      <c r="H57" s="3"/>
      <c r="I57" s="3"/>
      <c r="J57" s="20">
        <f t="shared" si="12"/>
        <v>240000</v>
      </c>
      <c r="K57" s="108">
        <v>57870</v>
      </c>
      <c r="L57" s="3">
        <f t="shared" si="13"/>
        <v>182130</v>
      </c>
    </row>
    <row r="58" spans="1:12" x14ac:dyDescent="0.3">
      <c r="A58" s="254"/>
      <c r="B58" s="261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08">
        <v>57000</v>
      </c>
      <c r="L58" s="3">
        <f t="shared" si="13"/>
        <v>90000</v>
      </c>
    </row>
    <row r="59" spans="1:12" x14ac:dyDescent="0.3">
      <c r="A59" s="254"/>
      <c r="B59" s="261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08">
        <v>173817</v>
      </c>
      <c r="L59" s="3">
        <f t="shared" si="13"/>
        <v>379683</v>
      </c>
    </row>
    <row r="60" spans="1:12" x14ac:dyDescent="0.3">
      <c r="A60" s="254"/>
      <c r="B60" s="261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08">
        <v>1500</v>
      </c>
      <c r="L60" s="3">
        <f t="shared" si="13"/>
        <v>98500</v>
      </c>
    </row>
    <row r="61" spans="1:12" x14ac:dyDescent="0.3">
      <c r="A61" s="254"/>
      <c r="B61" s="261"/>
      <c r="C61" s="6" t="s">
        <v>53</v>
      </c>
      <c r="D61" s="7">
        <f>SUM(D52:D60)</f>
        <v>29289325</v>
      </c>
      <c r="E61" s="7">
        <v>29289325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19936</v>
      </c>
      <c r="I61" s="7">
        <f t="shared" si="14"/>
        <v>0</v>
      </c>
      <c r="J61" s="7">
        <f t="shared" si="14"/>
        <v>29309261</v>
      </c>
      <c r="K61" s="110">
        <f t="shared" si="14"/>
        <v>11025297</v>
      </c>
      <c r="L61" s="7">
        <f t="shared" si="14"/>
        <v>18283964</v>
      </c>
    </row>
    <row r="62" spans="1:12" x14ac:dyDescent="0.3">
      <c r="A62" s="254"/>
      <c r="B62" s="261"/>
      <c r="C62" s="82" t="s">
        <v>31</v>
      </c>
      <c r="D62" s="83">
        <v>5849797</v>
      </c>
      <c r="E62" s="83">
        <v>5849797</v>
      </c>
      <c r="F62" s="83"/>
      <c r="G62" s="83"/>
      <c r="H62" s="83">
        <v>3888</v>
      </c>
      <c r="I62" s="83"/>
      <c r="J62" s="84">
        <f t="shared" ref="J62:J75" si="15">E62+F62+G62+H62+I62</f>
        <v>5853685</v>
      </c>
      <c r="K62" s="111">
        <v>2390718</v>
      </c>
      <c r="L62" s="85">
        <f t="shared" ref="L62:L75" si="16">J62-K62</f>
        <v>3462967</v>
      </c>
    </row>
    <row r="63" spans="1:12" x14ac:dyDescent="0.3">
      <c r="A63" s="254"/>
      <c r="B63" s="261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08">
        <v>17780</v>
      </c>
      <c r="L63" s="3">
        <f t="shared" si="16"/>
        <v>87220</v>
      </c>
    </row>
    <row r="64" spans="1:12" x14ac:dyDescent="0.3">
      <c r="A64" s="254"/>
      <c r="B64" s="261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08">
        <v>13072</v>
      </c>
      <c r="L64" s="3">
        <f t="shared" si="16"/>
        <v>686928</v>
      </c>
    </row>
    <row r="65" spans="1:12" x14ac:dyDescent="0.3">
      <c r="A65" s="254"/>
      <c r="B65" s="261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08">
        <v>52494</v>
      </c>
      <c r="L65" s="3">
        <f t="shared" si="16"/>
        <v>160506</v>
      </c>
    </row>
    <row r="66" spans="1:12" x14ac:dyDescent="0.3">
      <c r="A66" s="254"/>
      <c r="B66" s="261"/>
      <c r="C66" s="2" t="s">
        <v>35</v>
      </c>
      <c r="D66" s="3">
        <v>288000</v>
      </c>
      <c r="E66" s="3">
        <v>115200</v>
      </c>
      <c r="F66" s="3"/>
      <c r="G66" s="3">
        <v>7000</v>
      </c>
      <c r="H66" s="3"/>
      <c r="I66" s="3"/>
      <c r="J66" s="20">
        <f t="shared" si="15"/>
        <v>122200</v>
      </c>
      <c r="K66" s="108">
        <v>46264</v>
      </c>
      <c r="L66" s="3">
        <f t="shared" si="16"/>
        <v>75936</v>
      </c>
    </row>
    <row r="67" spans="1:12" x14ac:dyDescent="0.3">
      <c r="A67" s="254"/>
      <c r="B67" s="261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08">
        <v>354606</v>
      </c>
      <c r="L67" s="3">
        <f t="shared" si="16"/>
        <v>314934</v>
      </c>
    </row>
    <row r="68" spans="1:12" x14ac:dyDescent="0.3">
      <c r="A68" s="254"/>
      <c r="B68" s="261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08">
        <v>0</v>
      </c>
      <c r="L68" s="3">
        <f t="shared" si="16"/>
        <v>123000</v>
      </c>
    </row>
    <row r="69" spans="1:12" x14ac:dyDescent="0.3">
      <c r="A69" s="254"/>
      <c r="B69" s="261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08">
        <v>88914</v>
      </c>
      <c r="L69" s="3">
        <f t="shared" si="16"/>
        <v>371086</v>
      </c>
    </row>
    <row r="70" spans="1:12" x14ac:dyDescent="0.3">
      <c r="A70" s="254"/>
      <c r="B70" s="261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08">
        <v>272068</v>
      </c>
      <c r="L70" s="3">
        <f t="shared" si="16"/>
        <v>1089836</v>
      </c>
    </row>
    <row r="71" spans="1:12" x14ac:dyDescent="0.3">
      <c r="A71" s="254"/>
      <c r="B71" s="261"/>
      <c r="C71" s="2" t="s">
        <v>41</v>
      </c>
      <c r="D71" s="3">
        <v>982236</v>
      </c>
      <c r="E71" s="3">
        <v>982236</v>
      </c>
      <c r="F71" s="3"/>
      <c r="G71" s="3"/>
      <c r="H71" s="3"/>
      <c r="I71" s="3"/>
      <c r="J71" s="20">
        <f t="shared" si="15"/>
        <v>982236</v>
      </c>
      <c r="K71" s="108">
        <v>321879</v>
      </c>
      <c r="L71" s="3">
        <f t="shared" si="16"/>
        <v>660357</v>
      </c>
    </row>
    <row r="72" spans="1:12" x14ac:dyDescent="0.3">
      <c r="A72" s="254"/>
      <c r="B72" s="261"/>
      <c r="C72" s="2" t="s">
        <v>42</v>
      </c>
      <c r="D72" s="3">
        <v>1200000</v>
      </c>
      <c r="E72" s="3">
        <v>1155940</v>
      </c>
      <c r="F72" s="3">
        <v>-7980</v>
      </c>
      <c r="G72" s="3"/>
      <c r="H72" s="3"/>
      <c r="I72" s="3"/>
      <c r="J72" s="20">
        <f t="shared" si="15"/>
        <v>1147960</v>
      </c>
      <c r="K72" s="108">
        <v>164335</v>
      </c>
      <c r="L72" s="3">
        <f t="shared" si="16"/>
        <v>983625</v>
      </c>
    </row>
    <row r="73" spans="1:12" x14ac:dyDescent="0.3">
      <c r="A73" s="254"/>
      <c r="B73" s="261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08">
        <v>0</v>
      </c>
      <c r="L73" s="3">
        <f t="shared" si="16"/>
        <v>30000</v>
      </c>
    </row>
    <row r="74" spans="1:12" x14ac:dyDescent="0.3">
      <c r="A74" s="254"/>
      <c r="B74" s="261"/>
      <c r="C74" s="2" t="s">
        <v>44</v>
      </c>
      <c r="D74" s="3">
        <v>1041508</v>
      </c>
      <c r="E74" s="3">
        <v>981368</v>
      </c>
      <c r="F74" s="3">
        <v>-945</v>
      </c>
      <c r="G74" s="3"/>
      <c r="H74" s="3"/>
      <c r="I74" s="3"/>
      <c r="J74" s="20">
        <f t="shared" si="15"/>
        <v>980423</v>
      </c>
      <c r="K74" s="108">
        <v>149842</v>
      </c>
      <c r="L74" s="3">
        <f t="shared" si="16"/>
        <v>830581</v>
      </c>
    </row>
    <row r="75" spans="1:12" x14ac:dyDescent="0.3">
      <c r="A75" s="254"/>
      <c r="B75" s="261"/>
      <c r="C75" s="2" t="s">
        <v>45</v>
      </c>
      <c r="D75" s="3">
        <v>433021</v>
      </c>
      <c r="E75" s="3">
        <v>160403</v>
      </c>
      <c r="F75" s="3"/>
      <c r="G75" s="3"/>
      <c r="H75" s="3"/>
      <c r="I75" s="3"/>
      <c r="J75" s="20">
        <f t="shared" si="15"/>
        <v>160403</v>
      </c>
      <c r="K75" s="108">
        <v>0</v>
      </c>
      <c r="L75" s="3">
        <f t="shared" si="16"/>
        <v>160403</v>
      </c>
    </row>
    <row r="76" spans="1:12" x14ac:dyDescent="0.3">
      <c r="A76" s="254"/>
      <c r="B76" s="261"/>
      <c r="C76" s="6" t="s">
        <v>49</v>
      </c>
      <c r="D76" s="7">
        <f>SUM(D63:D75)</f>
        <v>7607209</v>
      </c>
      <c r="E76" s="7">
        <v>7075191</v>
      </c>
      <c r="F76" s="7">
        <f t="shared" ref="F76:L76" si="17">SUM(F63:F75)</f>
        <v>-8925</v>
      </c>
      <c r="G76" s="7">
        <f t="shared" si="17"/>
        <v>7000</v>
      </c>
      <c r="H76" s="7">
        <f t="shared" si="17"/>
        <v>0</v>
      </c>
      <c r="I76" s="7">
        <f t="shared" si="17"/>
        <v>0</v>
      </c>
      <c r="J76" s="7">
        <f t="shared" si="17"/>
        <v>7055666</v>
      </c>
      <c r="K76" s="110">
        <f t="shared" si="17"/>
        <v>1481254</v>
      </c>
      <c r="L76" s="7">
        <f t="shared" si="17"/>
        <v>5574412</v>
      </c>
    </row>
    <row r="77" spans="1:12" x14ac:dyDescent="0.3">
      <c r="A77" s="254"/>
      <c r="B77" s="261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08">
        <v>0</v>
      </c>
      <c r="L77" s="3">
        <f t="shared" ref="L77:L78" si="19">J77-K77</f>
        <v>78740</v>
      </c>
    </row>
    <row r="78" spans="1:12" x14ac:dyDescent="0.3">
      <c r="A78" s="254"/>
      <c r="B78" s="261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08">
        <v>0</v>
      </c>
      <c r="L78" s="3">
        <f t="shared" si="19"/>
        <v>21260</v>
      </c>
    </row>
    <row r="79" spans="1:12" x14ac:dyDescent="0.3">
      <c r="A79" s="254"/>
      <c r="B79" s="261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0">
        <f t="shared" si="20"/>
        <v>0</v>
      </c>
      <c r="L79" s="7">
        <f t="shared" si="20"/>
        <v>100000</v>
      </c>
    </row>
    <row r="80" spans="1:12" x14ac:dyDescent="0.3">
      <c r="A80" s="281" t="s">
        <v>58</v>
      </c>
      <c r="B80" s="280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08">
        <v>177400</v>
      </c>
      <c r="L80" s="3">
        <f t="shared" ref="L80:L87" si="22">J80-K80</f>
        <v>233000</v>
      </c>
    </row>
    <row r="81" spans="1:12" x14ac:dyDescent="0.3">
      <c r="A81" s="282"/>
      <c r="B81" s="28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08">
        <v>34593</v>
      </c>
      <c r="L81" s="3">
        <f t="shared" si="22"/>
        <v>41673</v>
      </c>
    </row>
    <row r="82" spans="1:12" x14ac:dyDescent="0.3">
      <c r="A82" s="281" t="s">
        <v>59</v>
      </c>
      <c r="B82" s="280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08">
        <v>156300</v>
      </c>
      <c r="L82" s="3">
        <f t="shared" si="22"/>
        <v>447300</v>
      </c>
    </row>
    <row r="83" spans="1:12" x14ac:dyDescent="0.3">
      <c r="A83" s="282"/>
      <c r="B83" s="28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08">
        <v>30478</v>
      </c>
      <c r="L83" s="3">
        <f t="shared" si="22"/>
        <v>81691</v>
      </c>
    </row>
    <row r="84" spans="1:12" x14ac:dyDescent="0.3">
      <c r="A84" s="281" t="s">
        <v>60</v>
      </c>
      <c r="B84" s="280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08">
        <v>4284199</v>
      </c>
      <c r="L84" s="3">
        <f t="shared" si="22"/>
        <v>6392027</v>
      </c>
    </row>
    <row r="85" spans="1:12" x14ac:dyDescent="0.3">
      <c r="A85" s="282"/>
      <c r="B85" s="28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08">
        <v>835424</v>
      </c>
      <c r="L85" s="3">
        <f t="shared" si="22"/>
        <v>1153841</v>
      </c>
    </row>
    <row r="86" spans="1:12" x14ac:dyDescent="0.3">
      <c r="A86" s="281" t="s">
        <v>61</v>
      </c>
      <c r="B86" s="280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08">
        <v>3154115</v>
      </c>
      <c r="L86" s="3">
        <f t="shared" si="22"/>
        <v>5243559</v>
      </c>
    </row>
    <row r="87" spans="1:12" x14ac:dyDescent="0.3">
      <c r="A87" s="282"/>
      <c r="B87" s="28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08">
        <v>615051</v>
      </c>
      <c r="L87" s="3">
        <f t="shared" si="22"/>
        <v>948302</v>
      </c>
    </row>
    <row r="88" spans="1:12" x14ac:dyDescent="0.3">
      <c r="A88" s="319" t="s">
        <v>76</v>
      </c>
      <c r="B88" s="320"/>
      <c r="C88" s="321"/>
      <c r="D88" s="80">
        <f t="shared" ref="D88" si="23">SUM(D32+D33+D48+D51+D61+D62+D76+D79+D80+D81+D82+D83+D84+D85+D86+D87)</f>
        <v>118207303</v>
      </c>
      <c r="E88" s="80">
        <v>117671049</v>
      </c>
      <c r="F88" s="80">
        <f t="shared" ref="F88:L88" si="24">SUM(F32+F33+F48+F51+F61+F62+F76+F79+F80+F81+F82+F83+F84+F85+F86+F87)</f>
        <v>-249824</v>
      </c>
      <c r="G88" s="80">
        <f t="shared" si="24"/>
        <v>12000</v>
      </c>
      <c r="H88" s="80">
        <f t="shared" si="24"/>
        <v>38009</v>
      </c>
      <c r="I88" s="80">
        <f t="shared" si="24"/>
        <v>0</v>
      </c>
      <c r="J88" s="80">
        <f t="shared" si="24"/>
        <v>117441074</v>
      </c>
      <c r="K88" s="112">
        <f t="shared" si="24"/>
        <v>42710540</v>
      </c>
      <c r="L88" s="80">
        <f t="shared" si="24"/>
        <v>74730534</v>
      </c>
    </row>
    <row r="89" spans="1:12" x14ac:dyDescent="0.3">
      <c r="A89" s="254" t="s">
        <v>12</v>
      </c>
      <c r="B89" s="261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5">E89+F89+G89+H89+I89</f>
        <v>4811583</v>
      </c>
      <c r="K89" s="108">
        <v>1920999</v>
      </c>
      <c r="L89" s="3">
        <f t="shared" ref="L89:L95" si="26">J89-K89</f>
        <v>2890584</v>
      </c>
    </row>
    <row r="90" spans="1:12" x14ac:dyDescent="0.3">
      <c r="A90" s="254"/>
      <c r="B90" s="261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08">
        <v>100000</v>
      </c>
      <c r="L90" s="3">
        <f t="shared" si="26"/>
        <v>100000</v>
      </c>
    </row>
    <row r="91" spans="1:12" x14ac:dyDescent="0.3">
      <c r="A91" s="254"/>
      <c r="B91" s="261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08">
        <v>0</v>
      </c>
      <c r="L91" s="3">
        <f t="shared" si="26"/>
        <v>10000</v>
      </c>
    </row>
    <row r="92" spans="1:12" x14ac:dyDescent="0.3">
      <c r="A92" s="254"/>
      <c r="B92" s="261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08">
        <v>46980</v>
      </c>
      <c r="L92" s="3">
        <f t="shared" si="26"/>
        <v>151020</v>
      </c>
    </row>
    <row r="93" spans="1:12" x14ac:dyDescent="0.3">
      <c r="A93" s="254"/>
      <c r="B93" s="261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08">
        <v>12000</v>
      </c>
      <c r="L93" s="3">
        <f t="shared" si="26"/>
        <v>12000</v>
      </c>
    </row>
    <row r="94" spans="1:12" x14ac:dyDescent="0.3">
      <c r="A94" s="254"/>
      <c r="B94" s="261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5"/>
        <v>75000</v>
      </c>
      <c r="K94" s="108">
        <v>0</v>
      </c>
      <c r="L94" s="3">
        <f t="shared" si="26"/>
        <v>75000</v>
      </c>
    </row>
    <row r="95" spans="1:12" x14ac:dyDescent="0.3">
      <c r="A95" s="254"/>
      <c r="B95" s="261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08">
        <v>0</v>
      </c>
      <c r="L95" s="3">
        <f t="shared" si="26"/>
        <v>0</v>
      </c>
    </row>
    <row r="96" spans="1:12" x14ac:dyDescent="0.3">
      <c r="A96" s="254"/>
      <c r="B96" s="261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0">
        <f t="shared" si="27"/>
        <v>2079979</v>
      </c>
      <c r="L96" s="7">
        <f t="shared" si="27"/>
        <v>3238604</v>
      </c>
    </row>
    <row r="97" spans="1:12" x14ac:dyDescent="0.3">
      <c r="A97" s="254"/>
      <c r="B97" s="261"/>
      <c r="C97" s="82" t="s">
        <v>31</v>
      </c>
      <c r="D97" s="83">
        <v>1035556</v>
      </c>
      <c r="E97" s="83">
        <v>1035556</v>
      </c>
      <c r="F97" s="83"/>
      <c r="G97" s="83"/>
      <c r="H97" s="83"/>
      <c r="I97" s="83"/>
      <c r="J97" s="84">
        <f t="shared" ref="J97:J107" si="28">E97+F97+G97+H97+I97</f>
        <v>1035556</v>
      </c>
      <c r="K97" s="111">
        <v>434980</v>
      </c>
      <c r="L97" s="85">
        <f t="shared" ref="L97:L107" si="29">J97-K97</f>
        <v>600576</v>
      </c>
    </row>
    <row r="98" spans="1:12" x14ac:dyDescent="0.3">
      <c r="A98" s="254"/>
      <c r="B98" s="261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08">
        <v>0</v>
      </c>
      <c r="L98" s="3">
        <f t="shared" si="29"/>
        <v>100000</v>
      </c>
    </row>
    <row r="99" spans="1:12" x14ac:dyDescent="0.3">
      <c r="A99" s="254"/>
      <c r="B99" s="261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08">
        <v>0</v>
      </c>
      <c r="L99" s="3">
        <f t="shared" si="29"/>
        <v>100000</v>
      </c>
    </row>
    <row r="100" spans="1:12" x14ac:dyDescent="0.3">
      <c r="A100" s="254"/>
      <c r="B100" s="261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08">
        <v>0</v>
      </c>
      <c r="L100" s="3">
        <f t="shared" si="29"/>
        <v>210000</v>
      </c>
    </row>
    <row r="101" spans="1:12" x14ac:dyDescent="0.3">
      <c r="A101" s="254"/>
      <c r="B101" s="261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08">
        <v>0</v>
      </c>
      <c r="L101" s="3">
        <f t="shared" si="29"/>
        <v>110000</v>
      </c>
    </row>
    <row r="102" spans="1:12" x14ac:dyDescent="0.3">
      <c r="A102" s="254"/>
      <c r="B102" s="261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08">
        <v>273779</v>
      </c>
      <c r="L102" s="3">
        <f t="shared" si="29"/>
        <v>226221</v>
      </c>
    </row>
    <row r="103" spans="1:12" x14ac:dyDescent="0.3">
      <c r="A103" s="254"/>
      <c r="B103" s="261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08">
        <v>0</v>
      </c>
      <c r="L103" s="3">
        <f t="shared" si="29"/>
        <v>140000</v>
      </c>
    </row>
    <row r="104" spans="1:12" x14ac:dyDescent="0.3">
      <c r="A104" s="254"/>
      <c r="B104" s="261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08">
        <v>3400</v>
      </c>
      <c r="L104" s="3">
        <f t="shared" si="29"/>
        <v>13400</v>
      </c>
    </row>
    <row r="105" spans="1:12" x14ac:dyDescent="0.3">
      <c r="A105" s="254"/>
      <c r="B105" s="261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8"/>
        <v>80000</v>
      </c>
      <c r="K105" s="108">
        <v>30080</v>
      </c>
      <c r="L105" s="3">
        <f t="shared" si="29"/>
        <v>49920</v>
      </c>
    </row>
    <row r="106" spans="1:12" x14ac:dyDescent="0.3">
      <c r="A106" s="254"/>
      <c r="B106" s="261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08">
        <v>71710</v>
      </c>
      <c r="L106" s="3">
        <f t="shared" si="29"/>
        <v>168290</v>
      </c>
    </row>
    <row r="107" spans="1:12" x14ac:dyDescent="0.3">
      <c r="A107" s="254"/>
      <c r="B107" s="261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8"/>
        <v>200600</v>
      </c>
      <c r="K107" s="108">
        <v>21810</v>
      </c>
      <c r="L107" s="3">
        <f t="shared" si="29"/>
        <v>178790</v>
      </c>
    </row>
    <row r="108" spans="1:12" x14ac:dyDescent="0.3">
      <c r="A108" s="254"/>
      <c r="B108" s="261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0">
        <f t="shared" si="30"/>
        <v>400779</v>
      </c>
      <c r="L108" s="7">
        <f t="shared" si="30"/>
        <v>1296621</v>
      </c>
    </row>
    <row r="109" spans="1:12" x14ac:dyDescent="0.3">
      <c r="A109" s="262" t="s">
        <v>62</v>
      </c>
      <c r="B109" s="264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08">
        <v>30500</v>
      </c>
      <c r="L109" s="3">
        <f t="shared" ref="L109:L112" si="32">J109-K109</f>
        <v>81100</v>
      </c>
    </row>
    <row r="110" spans="1:12" x14ac:dyDescent="0.3">
      <c r="A110" s="263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08">
        <v>5945</v>
      </c>
      <c r="L110" s="3">
        <f t="shared" si="32"/>
        <v>14794</v>
      </c>
    </row>
    <row r="111" spans="1:12" x14ac:dyDescent="0.3">
      <c r="A111" s="262" t="s">
        <v>63</v>
      </c>
      <c r="B111" s="264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08">
        <v>623301</v>
      </c>
      <c r="L111" s="3">
        <f t="shared" si="32"/>
        <v>836971</v>
      </c>
    </row>
    <row r="112" spans="1:12" x14ac:dyDescent="0.3">
      <c r="A112" s="263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08">
        <v>121543</v>
      </c>
      <c r="L112" s="3">
        <f t="shared" si="32"/>
        <v>150625</v>
      </c>
    </row>
    <row r="113" spans="1:12" x14ac:dyDescent="0.3">
      <c r="A113" s="319" t="s">
        <v>77</v>
      </c>
      <c r="B113" s="320"/>
      <c r="C113" s="321"/>
      <c r="D113" s="80">
        <f>SUM(D96+D97+D108+D109+D110+D111+D112)</f>
        <v>9916318</v>
      </c>
      <c r="E113" s="80">
        <v>9916318</v>
      </c>
      <c r="F113" s="80">
        <f t="shared" ref="F113:L113" si="33">SUM(F96+F97+F108+F109+F110+F111+F112)</f>
        <v>0</v>
      </c>
      <c r="G113" s="80">
        <f t="shared" si="33"/>
        <v>0</v>
      </c>
      <c r="H113" s="80">
        <f t="shared" si="33"/>
        <v>0</v>
      </c>
      <c r="I113" s="80">
        <f t="shared" si="33"/>
        <v>0</v>
      </c>
      <c r="J113" s="80">
        <f t="shared" si="33"/>
        <v>9916318</v>
      </c>
      <c r="K113" s="112">
        <f t="shared" si="33"/>
        <v>3697027</v>
      </c>
      <c r="L113" s="80">
        <f t="shared" si="33"/>
        <v>6219291</v>
      </c>
    </row>
    <row r="114" spans="1:12" x14ac:dyDescent="0.3">
      <c r="A114" s="254" t="s">
        <v>13</v>
      </c>
      <c r="B114" s="261" t="s">
        <v>23</v>
      </c>
      <c r="C114" s="2" t="s">
        <v>24</v>
      </c>
      <c r="D114" s="3">
        <v>4871210</v>
      </c>
      <c r="E114" s="3">
        <v>4871210</v>
      </c>
      <c r="F114" s="3"/>
      <c r="G114" s="3"/>
      <c r="H114" s="3">
        <v>14018</v>
      </c>
      <c r="I114" s="3"/>
      <c r="J114" s="20">
        <f t="shared" ref="J114:J119" si="34">E114+F114+G114+H114+I114</f>
        <v>4885228</v>
      </c>
      <c r="K114" s="108">
        <v>1970501</v>
      </c>
      <c r="L114" s="3">
        <f t="shared" ref="L114:L119" si="35">J114-K114</f>
        <v>2914727</v>
      </c>
    </row>
    <row r="115" spans="1:12" x14ac:dyDescent="0.3">
      <c r="A115" s="254"/>
      <c r="B115" s="261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08">
        <v>100000</v>
      </c>
      <c r="L115" s="3">
        <f t="shared" si="35"/>
        <v>100000</v>
      </c>
    </row>
    <row r="116" spans="1:12" x14ac:dyDescent="0.3">
      <c r="A116" s="254"/>
      <c r="B116" s="261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08">
        <v>0</v>
      </c>
      <c r="L116" s="3">
        <f t="shared" si="35"/>
        <v>10000</v>
      </c>
    </row>
    <row r="117" spans="1:12" x14ac:dyDescent="0.3">
      <c r="A117" s="254"/>
      <c r="B117" s="261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08">
        <v>12000</v>
      </c>
      <c r="L117" s="3">
        <f t="shared" si="35"/>
        <v>12000</v>
      </c>
    </row>
    <row r="118" spans="1:12" x14ac:dyDescent="0.3">
      <c r="A118" s="254"/>
      <c r="B118" s="261"/>
      <c r="C118" s="2" t="s">
        <v>29</v>
      </c>
      <c r="D118" s="3">
        <v>75000</v>
      </c>
      <c r="E118" s="3">
        <v>75000</v>
      </c>
      <c r="F118" s="3"/>
      <c r="G118" s="3"/>
      <c r="H118" s="3"/>
      <c r="I118" s="3"/>
      <c r="J118" s="20">
        <f t="shared" si="34"/>
        <v>75000</v>
      </c>
      <c r="K118" s="108">
        <v>0</v>
      </c>
      <c r="L118" s="3">
        <f t="shared" si="35"/>
        <v>75000</v>
      </c>
    </row>
    <row r="119" spans="1:12" x14ac:dyDescent="0.3">
      <c r="A119" s="254"/>
      <c r="B119" s="261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08">
        <v>0</v>
      </c>
      <c r="L119" s="3">
        <f t="shared" si="35"/>
        <v>0</v>
      </c>
    </row>
    <row r="120" spans="1:12" x14ac:dyDescent="0.3">
      <c r="A120" s="254"/>
      <c r="B120" s="261"/>
      <c r="C120" s="6" t="s">
        <v>53</v>
      </c>
      <c r="D120" s="7">
        <f>SUM(D114:D119)</f>
        <v>5180210</v>
      </c>
      <c r="E120" s="7">
        <v>5180210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14018</v>
      </c>
      <c r="I120" s="7">
        <f t="shared" si="36"/>
        <v>0</v>
      </c>
      <c r="J120" s="7">
        <f t="shared" si="36"/>
        <v>5194228</v>
      </c>
      <c r="K120" s="110">
        <f t="shared" si="36"/>
        <v>2082501</v>
      </c>
      <c r="L120" s="7">
        <f t="shared" si="36"/>
        <v>3111727</v>
      </c>
    </row>
    <row r="121" spans="1:12" x14ac:dyDescent="0.3">
      <c r="A121" s="254"/>
      <c r="B121" s="261"/>
      <c r="C121" s="82" t="s">
        <v>31</v>
      </c>
      <c r="D121" s="83">
        <v>1046402</v>
      </c>
      <c r="E121" s="83">
        <v>1046402</v>
      </c>
      <c r="F121" s="83"/>
      <c r="G121" s="83"/>
      <c r="H121" s="83">
        <v>2733</v>
      </c>
      <c r="I121" s="83"/>
      <c r="J121" s="84">
        <f t="shared" ref="J121:J129" si="37">E121+F121+G121+H121+I121</f>
        <v>1049135</v>
      </c>
      <c r="K121" s="111">
        <v>444631</v>
      </c>
      <c r="L121" s="85">
        <f t="shared" ref="L121:L129" si="38">J121-K121</f>
        <v>604504</v>
      </c>
    </row>
    <row r="122" spans="1:12" x14ac:dyDescent="0.3">
      <c r="A122" s="254"/>
      <c r="B122" s="261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08">
        <v>0</v>
      </c>
      <c r="L122" s="3">
        <f t="shared" si="38"/>
        <v>50000</v>
      </c>
    </row>
    <row r="123" spans="1:12" x14ac:dyDescent="0.3">
      <c r="A123" s="254"/>
      <c r="B123" s="261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08">
        <v>0</v>
      </c>
      <c r="L123" s="3">
        <f t="shared" si="38"/>
        <v>100000</v>
      </c>
    </row>
    <row r="124" spans="1:12" x14ac:dyDescent="0.3">
      <c r="A124" s="254"/>
      <c r="B124" s="261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08">
        <v>0</v>
      </c>
      <c r="L124" s="3">
        <f t="shared" si="38"/>
        <v>116000</v>
      </c>
    </row>
    <row r="125" spans="1:12" x14ac:dyDescent="0.3">
      <c r="A125" s="254"/>
      <c r="B125" s="261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08">
        <v>0</v>
      </c>
      <c r="L125" s="3">
        <f t="shared" si="38"/>
        <v>50000</v>
      </c>
    </row>
    <row r="126" spans="1:12" x14ac:dyDescent="0.3">
      <c r="A126" s="254"/>
      <c r="B126" s="261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08">
        <v>3400</v>
      </c>
      <c r="L126" s="3">
        <f t="shared" si="38"/>
        <v>13400</v>
      </c>
    </row>
    <row r="127" spans="1:12" x14ac:dyDescent="0.3">
      <c r="A127" s="254"/>
      <c r="B127" s="261"/>
      <c r="C127" s="2" t="s">
        <v>41</v>
      </c>
      <c r="D127" s="3">
        <v>0</v>
      </c>
      <c r="E127" s="3">
        <v>34000</v>
      </c>
      <c r="F127" s="3"/>
      <c r="G127" s="3"/>
      <c r="H127" s="3"/>
      <c r="I127" s="3"/>
      <c r="J127" s="20">
        <f t="shared" si="37"/>
        <v>34000</v>
      </c>
      <c r="K127" s="108">
        <v>30080</v>
      </c>
      <c r="L127" s="3">
        <f t="shared" si="38"/>
        <v>3920</v>
      </c>
    </row>
    <row r="128" spans="1:12" x14ac:dyDescent="0.3">
      <c r="A128" s="254"/>
      <c r="B128" s="261"/>
      <c r="C128" s="2" t="s">
        <v>42</v>
      </c>
      <c r="D128" s="3">
        <v>240000</v>
      </c>
      <c r="E128" s="3">
        <v>240000</v>
      </c>
      <c r="F128" s="3"/>
      <c r="G128" s="3"/>
      <c r="H128" s="3"/>
      <c r="I128" s="3"/>
      <c r="J128" s="20">
        <f t="shared" si="37"/>
        <v>240000</v>
      </c>
      <c r="K128" s="108">
        <v>61480</v>
      </c>
      <c r="L128" s="3">
        <f t="shared" si="38"/>
        <v>178520</v>
      </c>
    </row>
    <row r="129" spans="1:12" x14ac:dyDescent="0.3">
      <c r="A129" s="254"/>
      <c r="B129" s="261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08">
        <v>8121</v>
      </c>
      <c r="L129" s="3">
        <f t="shared" si="38"/>
        <v>86379</v>
      </c>
    </row>
    <row r="130" spans="1:12" x14ac:dyDescent="0.3">
      <c r="A130" s="254"/>
      <c r="B130" s="261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0">
        <f t="shared" si="39"/>
        <v>103081</v>
      </c>
      <c r="L130" s="7">
        <f t="shared" si="39"/>
        <v>598219</v>
      </c>
    </row>
    <row r="131" spans="1:12" x14ac:dyDescent="0.3">
      <c r="A131" s="262" t="s">
        <v>64</v>
      </c>
      <c r="B131" s="264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08">
        <v>16500</v>
      </c>
      <c r="L131" s="3">
        <f t="shared" ref="L131:L134" si="41">J131-K131</f>
        <v>23100</v>
      </c>
    </row>
    <row r="132" spans="1:12" x14ac:dyDescent="0.3">
      <c r="A132" s="263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08">
        <v>3218</v>
      </c>
      <c r="L132" s="3">
        <f t="shared" si="41"/>
        <v>4141</v>
      </c>
    </row>
    <row r="133" spans="1:12" x14ac:dyDescent="0.3">
      <c r="A133" s="262" t="s">
        <v>65</v>
      </c>
      <c r="B133" s="264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08">
        <v>565930</v>
      </c>
      <c r="L133" s="3">
        <f t="shared" si="41"/>
        <v>791228</v>
      </c>
    </row>
    <row r="134" spans="1:12" x14ac:dyDescent="0.3">
      <c r="A134" s="263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08">
        <v>110355</v>
      </c>
      <c r="L134" s="3">
        <f t="shared" si="41"/>
        <v>142972</v>
      </c>
    </row>
    <row r="135" spans="1:12" x14ac:dyDescent="0.3">
      <c r="A135" s="319" t="s">
        <v>78</v>
      </c>
      <c r="B135" s="320"/>
      <c r="C135" s="321"/>
      <c r="D135" s="80">
        <f>SUM(D120+D121+D130+D131+D132+D133+D134)</f>
        <v>8585356</v>
      </c>
      <c r="E135" s="80">
        <v>8585356</v>
      </c>
      <c r="F135" s="80">
        <f t="shared" ref="F135:L135" si="42">SUM(F120+F121+F130+F131+F132+F133+F134)</f>
        <v>0</v>
      </c>
      <c r="G135" s="80">
        <f t="shared" si="42"/>
        <v>0</v>
      </c>
      <c r="H135" s="80">
        <f t="shared" si="42"/>
        <v>16751</v>
      </c>
      <c r="I135" s="80">
        <f t="shared" si="42"/>
        <v>0</v>
      </c>
      <c r="J135" s="80">
        <f t="shared" si="42"/>
        <v>8602107</v>
      </c>
      <c r="K135" s="112">
        <f t="shared" si="42"/>
        <v>3326216</v>
      </c>
      <c r="L135" s="80">
        <f t="shared" si="42"/>
        <v>5275891</v>
      </c>
    </row>
    <row r="136" spans="1:12" x14ac:dyDescent="0.3">
      <c r="A136" s="254" t="s">
        <v>14</v>
      </c>
      <c r="B136" s="261" t="s">
        <v>23</v>
      </c>
      <c r="C136" s="2" t="s">
        <v>24</v>
      </c>
      <c r="D136" s="3">
        <v>4756797</v>
      </c>
      <c r="E136" s="3">
        <v>4679008</v>
      </c>
      <c r="F136" s="3"/>
      <c r="G136" s="3"/>
      <c r="H136" s="3">
        <v>9580</v>
      </c>
      <c r="I136" s="3"/>
      <c r="J136" s="20">
        <f t="shared" ref="J136:J142" si="43">E136+F136+G136+H136+I136</f>
        <v>4688588</v>
      </c>
      <c r="K136" s="108">
        <v>1822094</v>
      </c>
      <c r="L136" s="3">
        <f t="shared" ref="L136:L142" si="44">J136-K136</f>
        <v>2866494</v>
      </c>
    </row>
    <row r="137" spans="1:12" x14ac:dyDescent="0.3">
      <c r="A137" s="254"/>
      <c r="B137" s="261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08">
        <v>100000</v>
      </c>
      <c r="L137" s="3">
        <f t="shared" si="44"/>
        <v>100000</v>
      </c>
    </row>
    <row r="138" spans="1:12" x14ac:dyDescent="0.3">
      <c r="A138" s="254"/>
      <c r="B138" s="261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08">
        <v>0</v>
      </c>
      <c r="L138" s="3">
        <f t="shared" si="44"/>
        <v>10000</v>
      </c>
    </row>
    <row r="139" spans="1:12" x14ac:dyDescent="0.3">
      <c r="A139" s="254"/>
      <c r="B139" s="261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08">
        <v>70096</v>
      </c>
      <c r="L139" s="3">
        <f t="shared" si="44"/>
        <v>184904</v>
      </c>
    </row>
    <row r="140" spans="1:12" x14ac:dyDescent="0.3">
      <c r="A140" s="254"/>
      <c r="B140" s="261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08">
        <v>12000</v>
      </c>
      <c r="L140" s="3">
        <f t="shared" si="44"/>
        <v>12000</v>
      </c>
    </row>
    <row r="141" spans="1:12" x14ac:dyDescent="0.3">
      <c r="A141" s="254"/>
      <c r="B141" s="261"/>
      <c r="C141" s="2" t="s">
        <v>29</v>
      </c>
      <c r="D141" s="3">
        <v>0</v>
      </c>
      <c r="E141" s="3">
        <v>77789</v>
      </c>
      <c r="F141" s="3"/>
      <c r="G141" s="3"/>
      <c r="H141" s="3"/>
      <c r="I141" s="3"/>
      <c r="J141" s="20">
        <f t="shared" si="43"/>
        <v>77789</v>
      </c>
      <c r="K141" s="108">
        <v>77789</v>
      </c>
      <c r="L141" s="3">
        <f t="shared" si="44"/>
        <v>0</v>
      </c>
    </row>
    <row r="142" spans="1:12" x14ac:dyDescent="0.3">
      <c r="A142" s="254"/>
      <c r="B142" s="261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08">
        <v>0</v>
      </c>
      <c r="L142" s="3">
        <f t="shared" si="44"/>
        <v>0</v>
      </c>
    </row>
    <row r="143" spans="1:12" x14ac:dyDescent="0.3">
      <c r="A143" s="254"/>
      <c r="B143" s="261"/>
      <c r="C143" s="6" t="s">
        <v>53</v>
      </c>
      <c r="D143" s="7">
        <f>SUM(D136:D142)</f>
        <v>5245797</v>
      </c>
      <c r="E143" s="7">
        <v>5245797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9580</v>
      </c>
      <c r="I143" s="7">
        <f t="shared" si="45"/>
        <v>0</v>
      </c>
      <c r="J143" s="7">
        <f t="shared" si="45"/>
        <v>5255377</v>
      </c>
      <c r="K143" s="110">
        <f t="shared" si="45"/>
        <v>2081979</v>
      </c>
      <c r="L143" s="7">
        <f t="shared" si="45"/>
        <v>3173398</v>
      </c>
    </row>
    <row r="144" spans="1:12" x14ac:dyDescent="0.3">
      <c r="A144" s="254"/>
      <c r="B144" s="261"/>
      <c r="C144" s="82" t="s">
        <v>31</v>
      </c>
      <c r="D144" s="83">
        <v>1025121</v>
      </c>
      <c r="E144" s="83">
        <v>1025121</v>
      </c>
      <c r="F144" s="83"/>
      <c r="G144" s="83"/>
      <c r="H144" s="83">
        <v>1868</v>
      </c>
      <c r="I144" s="83"/>
      <c r="J144" s="84">
        <f t="shared" ref="J144:J152" si="46">E144+F144+G144+H144+I144</f>
        <v>1026989</v>
      </c>
      <c r="K144" s="111">
        <v>430860</v>
      </c>
      <c r="L144" s="85">
        <f t="shared" ref="L144:L152" si="47">J144-K144</f>
        <v>596129</v>
      </c>
    </row>
    <row r="145" spans="1:12" x14ac:dyDescent="0.3">
      <c r="A145" s="254"/>
      <c r="B145" s="261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08">
        <v>0</v>
      </c>
      <c r="L145" s="3">
        <f t="shared" si="47"/>
        <v>80000</v>
      </c>
    </row>
    <row r="146" spans="1:12" x14ac:dyDescent="0.3">
      <c r="A146" s="254"/>
      <c r="B146" s="261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08">
        <v>0</v>
      </c>
      <c r="L146" s="3">
        <f t="shared" si="47"/>
        <v>110000</v>
      </c>
    </row>
    <row r="147" spans="1:12" x14ac:dyDescent="0.3">
      <c r="A147" s="254"/>
      <c r="B147" s="261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08">
        <v>0</v>
      </c>
      <c r="L147" s="3">
        <f t="shared" si="47"/>
        <v>136000</v>
      </c>
    </row>
    <row r="148" spans="1:12" x14ac:dyDescent="0.3">
      <c r="A148" s="254"/>
      <c r="B148" s="261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08">
        <v>0</v>
      </c>
      <c r="L148" s="3">
        <f t="shared" si="47"/>
        <v>144000</v>
      </c>
    </row>
    <row r="149" spans="1:12" x14ac:dyDescent="0.3">
      <c r="A149" s="254"/>
      <c r="B149" s="261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08">
        <v>3400</v>
      </c>
      <c r="L149" s="3">
        <f t="shared" si="47"/>
        <v>13400</v>
      </c>
    </row>
    <row r="150" spans="1:12" x14ac:dyDescent="0.3">
      <c r="A150" s="254"/>
      <c r="B150" s="261"/>
      <c r="C150" s="2" t="s">
        <v>41</v>
      </c>
      <c r="D150" s="3">
        <v>40000</v>
      </c>
      <c r="E150" s="3">
        <v>54000</v>
      </c>
      <c r="F150" s="3"/>
      <c r="G150" s="3"/>
      <c r="H150" s="3"/>
      <c r="I150" s="3"/>
      <c r="J150" s="20">
        <f t="shared" si="46"/>
        <v>54000</v>
      </c>
      <c r="K150" s="108">
        <v>50080</v>
      </c>
      <c r="L150" s="3">
        <f t="shared" si="47"/>
        <v>3920</v>
      </c>
    </row>
    <row r="151" spans="1:12" x14ac:dyDescent="0.3">
      <c r="A151" s="254"/>
      <c r="B151" s="261"/>
      <c r="C151" s="2" t="s">
        <v>42</v>
      </c>
      <c r="D151" s="3">
        <v>150000</v>
      </c>
      <c r="E151" s="3">
        <v>150000</v>
      </c>
      <c r="F151" s="3"/>
      <c r="G151" s="3"/>
      <c r="H151" s="3"/>
      <c r="I151" s="3"/>
      <c r="J151" s="20">
        <f t="shared" si="46"/>
        <v>150000</v>
      </c>
      <c r="K151" s="108">
        <v>51280</v>
      </c>
      <c r="L151" s="3">
        <f t="shared" si="47"/>
        <v>98720</v>
      </c>
    </row>
    <row r="152" spans="1:12" x14ac:dyDescent="0.3">
      <c r="A152" s="254"/>
      <c r="B152" s="261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08">
        <v>8122</v>
      </c>
      <c r="L152" s="3">
        <f t="shared" si="47"/>
        <v>133358</v>
      </c>
    </row>
    <row r="153" spans="1:12" x14ac:dyDescent="0.3">
      <c r="A153" s="254"/>
      <c r="B153" s="261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0">
        <f t="shared" si="48"/>
        <v>112882</v>
      </c>
      <c r="L153" s="7">
        <f t="shared" si="48"/>
        <v>719398</v>
      </c>
    </row>
    <row r="154" spans="1:12" x14ac:dyDescent="0.3">
      <c r="A154" s="262" t="s">
        <v>66</v>
      </c>
      <c r="B154" s="264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08">
        <v>335402</v>
      </c>
      <c r="L154" s="3">
        <f t="shared" ref="L154:L155" si="50">J154-K154</f>
        <v>497226</v>
      </c>
    </row>
    <row r="155" spans="1:12" x14ac:dyDescent="0.3">
      <c r="A155" s="263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08">
        <v>65403</v>
      </c>
      <c r="L155" s="3">
        <f t="shared" si="50"/>
        <v>90007</v>
      </c>
    </row>
    <row r="156" spans="1:12" x14ac:dyDescent="0.3">
      <c r="A156" s="319" t="s">
        <v>79</v>
      </c>
      <c r="B156" s="320"/>
      <c r="C156" s="321"/>
      <c r="D156" s="80">
        <f>SUM(D143+D144+D153+D154+D155)</f>
        <v>8091236</v>
      </c>
      <c r="E156" s="80">
        <v>8091236</v>
      </c>
      <c r="F156" s="80">
        <f t="shared" ref="F156:L156" si="51">SUM(F143+F144+F153+F154+F155)</f>
        <v>0</v>
      </c>
      <c r="G156" s="80">
        <f t="shared" si="51"/>
        <v>0</v>
      </c>
      <c r="H156" s="80">
        <f t="shared" si="51"/>
        <v>11448</v>
      </c>
      <c r="I156" s="80">
        <f t="shared" si="51"/>
        <v>0</v>
      </c>
      <c r="J156" s="80">
        <f t="shared" si="51"/>
        <v>8102684</v>
      </c>
      <c r="K156" s="112">
        <f t="shared" si="51"/>
        <v>3026526</v>
      </c>
      <c r="L156" s="80">
        <f t="shared" si="51"/>
        <v>5076158</v>
      </c>
    </row>
    <row r="157" spans="1:12" x14ac:dyDescent="0.3">
      <c r="A157" s="254" t="s">
        <v>55</v>
      </c>
      <c r="B157" s="261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08">
        <v>2020996</v>
      </c>
      <c r="L157" s="3">
        <f t="shared" ref="L157:L162" si="53">J157-K157</f>
        <v>3034873</v>
      </c>
    </row>
    <row r="158" spans="1:12" x14ac:dyDescent="0.3">
      <c r="A158" s="254"/>
      <c r="B158" s="261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08">
        <v>212500</v>
      </c>
      <c r="L158" s="3">
        <f t="shared" si="53"/>
        <v>212500</v>
      </c>
    </row>
    <row r="159" spans="1:12" x14ac:dyDescent="0.3">
      <c r="A159" s="254"/>
      <c r="B159" s="261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08">
        <v>0</v>
      </c>
      <c r="L159" s="3">
        <f t="shared" si="53"/>
        <v>10000</v>
      </c>
    </row>
    <row r="160" spans="1:12" x14ac:dyDescent="0.3">
      <c r="A160" s="254"/>
      <c r="B160" s="261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08">
        <v>12000</v>
      </c>
      <c r="L160" s="3">
        <f t="shared" si="53"/>
        <v>12000</v>
      </c>
    </row>
    <row r="161" spans="1:12" x14ac:dyDescent="0.3">
      <c r="A161" s="254"/>
      <c r="B161" s="261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08">
        <v>0</v>
      </c>
      <c r="L161" s="3">
        <f t="shared" si="53"/>
        <v>75000</v>
      </c>
    </row>
    <row r="162" spans="1:12" x14ac:dyDescent="0.3">
      <c r="A162" s="254"/>
      <c r="B162" s="261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08">
        <v>0</v>
      </c>
      <c r="L162" s="3">
        <f t="shared" si="53"/>
        <v>0</v>
      </c>
    </row>
    <row r="163" spans="1:12" x14ac:dyDescent="0.3">
      <c r="A163" s="254"/>
      <c r="B163" s="261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0">
        <f t="shared" si="54"/>
        <v>2245496</v>
      </c>
      <c r="L163" s="7">
        <f t="shared" si="54"/>
        <v>3344373</v>
      </c>
    </row>
    <row r="164" spans="1:12" x14ac:dyDescent="0.3">
      <c r="A164" s="254"/>
      <c r="B164" s="261"/>
      <c r="C164" s="82" t="s">
        <v>31</v>
      </c>
      <c r="D164" s="83">
        <v>1124913</v>
      </c>
      <c r="E164" s="83">
        <v>1124913</v>
      </c>
      <c r="F164" s="83"/>
      <c r="G164" s="83"/>
      <c r="H164" s="83"/>
      <c r="I164" s="83"/>
      <c r="J164" s="84">
        <f t="shared" ref="J164:J173" si="55">E164+F164+G164+H164+I164</f>
        <v>1124913</v>
      </c>
      <c r="K164" s="111">
        <v>476411</v>
      </c>
      <c r="L164" s="85">
        <f t="shared" ref="L164:L173" si="56">J164-K164</f>
        <v>648502</v>
      </c>
    </row>
    <row r="165" spans="1:12" x14ac:dyDescent="0.3">
      <c r="A165" s="254"/>
      <c r="B165" s="261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08">
        <v>0</v>
      </c>
      <c r="L165" s="3">
        <f t="shared" si="56"/>
        <v>100000</v>
      </c>
    </row>
    <row r="166" spans="1:12" x14ac:dyDescent="0.3">
      <c r="A166" s="254"/>
      <c r="B166" s="261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08">
        <v>0</v>
      </c>
      <c r="L166" s="3">
        <f t="shared" si="56"/>
        <v>100000</v>
      </c>
    </row>
    <row r="167" spans="1:12" x14ac:dyDescent="0.3">
      <c r="A167" s="254"/>
      <c r="B167" s="261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08">
        <v>0</v>
      </c>
      <c r="L167" s="3">
        <f t="shared" si="56"/>
        <v>100000</v>
      </c>
    </row>
    <row r="168" spans="1:12" x14ac:dyDescent="0.3">
      <c r="A168" s="254"/>
      <c r="B168" s="261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08">
        <v>0</v>
      </c>
      <c r="L168" s="3">
        <f t="shared" si="56"/>
        <v>50000</v>
      </c>
    </row>
    <row r="169" spans="1:12" x14ac:dyDescent="0.3">
      <c r="A169" s="254"/>
      <c r="B169" s="261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08">
        <v>26259</v>
      </c>
      <c r="L169" s="3">
        <f t="shared" si="56"/>
        <v>113741</v>
      </c>
    </row>
    <row r="170" spans="1:12" x14ac:dyDescent="0.3">
      <c r="A170" s="254"/>
      <c r="B170" s="261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08">
        <v>2950</v>
      </c>
      <c r="L170" s="3">
        <f t="shared" si="56"/>
        <v>12050</v>
      </c>
    </row>
    <row r="171" spans="1:12" x14ac:dyDescent="0.3">
      <c r="A171" s="254"/>
      <c r="B171" s="261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55"/>
        <v>80000</v>
      </c>
      <c r="K171" s="108">
        <v>30080</v>
      </c>
      <c r="L171" s="3">
        <f t="shared" si="56"/>
        <v>49920</v>
      </c>
    </row>
    <row r="172" spans="1:12" x14ac:dyDescent="0.3">
      <c r="A172" s="254"/>
      <c r="B172" s="261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08">
        <v>108195</v>
      </c>
      <c r="L172" s="3">
        <f t="shared" si="56"/>
        <v>131805</v>
      </c>
    </row>
    <row r="173" spans="1:12" x14ac:dyDescent="0.3">
      <c r="A173" s="254"/>
      <c r="B173" s="261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55"/>
        <v>142900</v>
      </c>
      <c r="K173" s="108">
        <v>15212</v>
      </c>
      <c r="L173" s="3">
        <f t="shared" si="56"/>
        <v>127688</v>
      </c>
    </row>
    <row r="174" spans="1:12" x14ac:dyDescent="0.3">
      <c r="A174" s="254"/>
      <c r="B174" s="261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0">
        <f t="shared" si="57"/>
        <v>182696</v>
      </c>
      <c r="L174" s="7">
        <f t="shared" si="57"/>
        <v>785204</v>
      </c>
    </row>
    <row r="175" spans="1:12" x14ac:dyDescent="0.3">
      <c r="A175" s="262" t="s">
        <v>67</v>
      </c>
      <c r="B175" s="264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08">
        <v>34300</v>
      </c>
      <c r="L175" s="3">
        <f t="shared" ref="L175:L191" si="59">J175-K175</f>
        <v>122900</v>
      </c>
    </row>
    <row r="176" spans="1:12" x14ac:dyDescent="0.3">
      <c r="A176" s="263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08">
        <v>6689</v>
      </c>
      <c r="L176" s="3">
        <f t="shared" si="59"/>
        <v>22524</v>
      </c>
    </row>
    <row r="177" spans="1:12" x14ac:dyDescent="0.3">
      <c r="A177" s="262" t="s">
        <v>75</v>
      </c>
      <c r="B177" s="264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08">
        <v>681832</v>
      </c>
      <c r="L177" s="3">
        <f t="shared" si="59"/>
        <v>922677</v>
      </c>
    </row>
    <row r="178" spans="1:12" x14ac:dyDescent="0.3">
      <c r="A178" s="263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08">
        <v>132959</v>
      </c>
      <c r="L178" s="3">
        <f t="shared" si="59"/>
        <v>166160</v>
      </c>
    </row>
    <row r="179" spans="1:12" x14ac:dyDescent="0.3">
      <c r="A179" s="322" t="s">
        <v>80</v>
      </c>
      <c r="B179" s="322"/>
      <c r="C179" s="322"/>
      <c r="D179" s="81">
        <f>SUM(D163+D164+D174+D175+D176+D177+D178)</f>
        <v>9772723</v>
      </c>
      <c r="E179" s="81">
        <v>9772723</v>
      </c>
      <c r="F179" s="81">
        <f t="shared" ref="F179:L179" si="60">SUM(F163+F164+F174+F175+F176+F177+F178)</f>
        <v>0</v>
      </c>
      <c r="G179" s="81">
        <f t="shared" si="60"/>
        <v>0</v>
      </c>
      <c r="H179" s="81">
        <f t="shared" si="60"/>
        <v>0</v>
      </c>
      <c r="I179" s="81">
        <f t="shared" si="60"/>
        <v>0</v>
      </c>
      <c r="J179" s="81">
        <f t="shared" si="60"/>
        <v>9772723</v>
      </c>
      <c r="K179" s="112">
        <f t="shared" si="60"/>
        <v>3760383</v>
      </c>
      <c r="L179" s="81">
        <f t="shared" si="60"/>
        <v>6012340</v>
      </c>
    </row>
    <row r="180" spans="1:12" x14ac:dyDescent="0.3">
      <c r="A180" s="254" t="s">
        <v>15</v>
      </c>
      <c r="B180" s="264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960500</v>
      </c>
      <c r="L180" s="3">
        <f t="shared" si="59"/>
        <v>10183560</v>
      </c>
    </row>
    <row r="181" spans="1:12" x14ac:dyDescent="0.3">
      <c r="A181" s="254"/>
      <c r="B181" s="268"/>
      <c r="C181" s="43" t="s">
        <v>30</v>
      </c>
      <c r="D181" s="44">
        <v>0</v>
      </c>
      <c r="E181" s="44">
        <v>0</v>
      </c>
      <c r="F181" s="44">
        <v>10500000</v>
      </c>
      <c r="G181" s="44"/>
      <c r="H181" s="44"/>
      <c r="I181" s="44"/>
      <c r="J181" s="20">
        <f t="shared" si="58"/>
        <v>10500000</v>
      </c>
      <c r="K181" s="56">
        <v>0</v>
      </c>
      <c r="L181" s="3">
        <f t="shared" si="59"/>
        <v>10500000</v>
      </c>
    </row>
    <row r="182" spans="1:12" x14ac:dyDescent="0.3">
      <c r="A182" s="254"/>
      <c r="B182" s="268"/>
      <c r="C182" s="6" t="s">
        <v>53</v>
      </c>
      <c r="D182" s="7">
        <f>D180+D181</f>
        <v>11144060</v>
      </c>
      <c r="E182" s="7">
        <f>E180+E181</f>
        <v>11144060</v>
      </c>
      <c r="F182" s="7">
        <f t="shared" ref="F182:L182" si="61">F180+F181</f>
        <v>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21644060</v>
      </c>
      <c r="K182" s="113">
        <f t="shared" si="61"/>
        <v>960500</v>
      </c>
      <c r="L182" s="7">
        <f t="shared" si="61"/>
        <v>20683560</v>
      </c>
    </row>
    <row r="183" spans="1:12" x14ac:dyDescent="0.3">
      <c r="A183" s="254"/>
      <c r="B183" s="268"/>
      <c r="C183" s="82" t="s">
        <v>31</v>
      </c>
      <c r="D183" s="83">
        <v>2295657</v>
      </c>
      <c r="E183" s="83">
        <v>2295657</v>
      </c>
      <c r="F183" s="83"/>
      <c r="G183" s="83"/>
      <c r="H183" s="83"/>
      <c r="I183" s="83"/>
      <c r="J183" s="85">
        <f t="shared" si="58"/>
        <v>2295657</v>
      </c>
      <c r="K183" s="111">
        <v>187298</v>
      </c>
      <c r="L183" s="85">
        <f t="shared" si="59"/>
        <v>2108359</v>
      </c>
    </row>
    <row r="184" spans="1:12" x14ac:dyDescent="0.3">
      <c r="A184" s="254"/>
      <c r="B184" s="268"/>
      <c r="C184" s="10" t="s">
        <v>33</v>
      </c>
      <c r="D184" s="3">
        <v>90000</v>
      </c>
      <c r="E184" s="3">
        <v>90000</v>
      </c>
      <c r="F184" s="3"/>
      <c r="G184" s="3"/>
      <c r="H184" s="3"/>
      <c r="I184" s="3"/>
      <c r="J184" s="3">
        <f t="shared" si="58"/>
        <v>90000</v>
      </c>
      <c r="K184" s="108">
        <v>0</v>
      </c>
      <c r="L184" s="3">
        <f t="shared" si="59"/>
        <v>90000</v>
      </c>
    </row>
    <row r="185" spans="1:12" x14ac:dyDescent="0.3">
      <c r="A185" s="254"/>
      <c r="B185" s="268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08">
        <v>0</v>
      </c>
      <c r="L185" s="3">
        <f t="shared" si="59"/>
        <v>230000</v>
      </c>
    </row>
    <row r="186" spans="1:12" x14ac:dyDescent="0.3">
      <c r="A186" s="254"/>
      <c r="B186" s="268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08">
        <v>0</v>
      </c>
      <c r="L186" s="3">
        <f t="shared" si="59"/>
        <v>14850000</v>
      </c>
    </row>
    <row r="187" spans="1:12" x14ac:dyDescent="0.3">
      <c r="A187" s="254"/>
      <c r="B187" s="268"/>
      <c r="C187" s="10" t="s">
        <v>41</v>
      </c>
      <c r="D187" s="3">
        <v>25112271</v>
      </c>
      <c r="E187" s="3">
        <v>25112271</v>
      </c>
      <c r="F187" s="3">
        <f>-10500000-8267717</f>
        <v>-18767717</v>
      </c>
      <c r="G187" s="3"/>
      <c r="H187" s="3"/>
      <c r="I187" s="3"/>
      <c r="J187" s="3">
        <f t="shared" si="58"/>
        <v>6344554</v>
      </c>
      <c r="K187" s="108">
        <v>5250000</v>
      </c>
      <c r="L187" s="3">
        <f t="shared" si="59"/>
        <v>1094554</v>
      </c>
    </row>
    <row r="188" spans="1:12" x14ac:dyDescent="0.3">
      <c r="A188" s="254"/>
      <c r="B188" s="268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08">
        <v>0</v>
      </c>
      <c r="L188" s="3">
        <f t="shared" si="59"/>
        <v>230000</v>
      </c>
    </row>
    <row r="189" spans="1:12" x14ac:dyDescent="0.3">
      <c r="A189" s="254"/>
      <c r="B189" s="268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08">
        <v>0</v>
      </c>
      <c r="L189" s="3">
        <f t="shared" si="59"/>
        <v>230000</v>
      </c>
    </row>
    <row r="190" spans="1:12" x14ac:dyDescent="0.3">
      <c r="A190" s="254"/>
      <c r="B190" s="268"/>
      <c r="C190" s="10" t="s">
        <v>44</v>
      </c>
      <c r="D190" s="3">
        <v>5677830</v>
      </c>
      <c r="E190" s="3">
        <v>5677830</v>
      </c>
      <c r="F190" s="3">
        <v>-2232283</v>
      </c>
      <c r="G190" s="3"/>
      <c r="H190" s="3"/>
      <c r="I190" s="3"/>
      <c r="J190" s="3">
        <f t="shared" si="58"/>
        <v>3445547</v>
      </c>
      <c r="K190" s="108">
        <v>1417500</v>
      </c>
      <c r="L190" s="3">
        <f t="shared" si="59"/>
        <v>2028047</v>
      </c>
    </row>
    <row r="191" spans="1:12" x14ac:dyDescent="0.3">
      <c r="A191" s="254"/>
      <c r="B191" s="268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08">
        <v>0</v>
      </c>
      <c r="L191" s="3">
        <f t="shared" si="59"/>
        <v>229990</v>
      </c>
    </row>
    <row r="192" spans="1:12" x14ac:dyDescent="0.3">
      <c r="A192" s="254"/>
      <c r="B192" s="268"/>
      <c r="C192" s="6" t="s">
        <v>49</v>
      </c>
      <c r="D192" s="7">
        <f>SUM(D184:D191)</f>
        <v>46650091</v>
      </c>
      <c r="E192" s="7">
        <v>46650091</v>
      </c>
      <c r="F192" s="7">
        <f t="shared" ref="F192:L192" si="62">SUM(F184:F191)</f>
        <v>-21000000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25650091</v>
      </c>
      <c r="K192" s="110">
        <f t="shared" si="62"/>
        <v>6667500</v>
      </c>
      <c r="L192" s="7">
        <f t="shared" si="62"/>
        <v>18982591</v>
      </c>
    </row>
    <row r="193" spans="1:12" x14ac:dyDescent="0.3">
      <c r="A193" s="254"/>
      <c r="B193" s="268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08">
        <v>0</v>
      </c>
      <c r="L193" s="3">
        <f t="shared" ref="L193:L195" si="64">J193-K193</f>
        <v>0</v>
      </c>
    </row>
    <row r="194" spans="1:12" x14ac:dyDescent="0.3">
      <c r="A194" s="254"/>
      <c r="B194" s="268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08">
        <v>0</v>
      </c>
      <c r="L194" s="3">
        <f t="shared" si="64"/>
        <v>3740</v>
      </c>
    </row>
    <row r="195" spans="1:12" x14ac:dyDescent="0.3">
      <c r="A195" s="254"/>
      <c r="B195" s="268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08">
        <v>0</v>
      </c>
      <c r="L195" s="3">
        <f t="shared" si="64"/>
        <v>1010</v>
      </c>
    </row>
    <row r="196" spans="1:12" x14ac:dyDescent="0.3">
      <c r="A196" s="254"/>
      <c r="B196" s="268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0">
        <f t="shared" si="65"/>
        <v>0</v>
      </c>
      <c r="L196" s="7">
        <f t="shared" si="65"/>
        <v>4750</v>
      </c>
    </row>
    <row r="197" spans="1:12" x14ac:dyDescent="0.3">
      <c r="A197" s="254"/>
      <c r="B197" s="265"/>
      <c r="C197" s="10" t="s">
        <v>57</v>
      </c>
      <c r="D197" s="3">
        <v>0</v>
      </c>
      <c r="E197" s="3">
        <v>0</v>
      </c>
      <c r="F197" s="3">
        <v>10500000</v>
      </c>
      <c r="G197" s="3"/>
      <c r="H197" s="3"/>
      <c r="I197" s="3"/>
      <c r="J197" s="3">
        <f t="shared" ref="J197" si="66">E197+F197+G197+H197+I197</f>
        <v>10500000</v>
      </c>
      <c r="K197" s="108">
        <v>10500000</v>
      </c>
      <c r="L197" s="3">
        <f t="shared" ref="L197" si="67">J197-K197</f>
        <v>0</v>
      </c>
    </row>
    <row r="198" spans="1:12" x14ac:dyDescent="0.3">
      <c r="A198" s="319" t="s">
        <v>81</v>
      </c>
      <c r="B198" s="320"/>
      <c r="C198" s="321"/>
      <c r="D198" s="80">
        <f>SUM(D182+D183+D192+D196+D197)</f>
        <v>60094558</v>
      </c>
      <c r="E198" s="80">
        <v>60094558</v>
      </c>
      <c r="F198" s="80">
        <f t="shared" ref="F198:L198" si="68">SUM(F182+F183+F192+F196+F197)</f>
        <v>0</v>
      </c>
      <c r="G198" s="80">
        <f t="shared" si="68"/>
        <v>0</v>
      </c>
      <c r="H198" s="80">
        <f t="shared" si="68"/>
        <v>0</v>
      </c>
      <c r="I198" s="80">
        <f t="shared" si="68"/>
        <v>0</v>
      </c>
      <c r="J198" s="80">
        <f t="shared" si="68"/>
        <v>60094558</v>
      </c>
      <c r="K198" s="112">
        <f t="shared" si="68"/>
        <v>18315298</v>
      </c>
      <c r="L198" s="80">
        <f t="shared" si="68"/>
        <v>41779260</v>
      </c>
    </row>
    <row r="199" spans="1:12" x14ac:dyDescent="0.3">
      <c r="A199" s="285" t="s">
        <v>85</v>
      </c>
      <c r="B199" s="264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08">
        <v>3677887</v>
      </c>
      <c r="L199" s="3">
        <f t="shared" ref="L199:L204" si="70">J199-K199</f>
        <v>5984875</v>
      </c>
    </row>
    <row r="200" spans="1:12" x14ac:dyDescent="0.3">
      <c r="A200" s="285"/>
      <c r="B200" s="268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08">
        <v>200000</v>
      </c>
      <c r="L200" s="3">
        <f t="shared" si="70"/>
        <v>200000</v>
      </c>
    </row>
    <row r="201" spans="1:12" x14ac:dyDescent="0.3">
      <c r="A201" s="285"/>
      <c r="B201" s="268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08">
        <v>0</v>
      </c>
      <c r="L201" s="3">
        <f t="shared" si="70"/>
        <v>20000</v>
      </c>
    </row>
    <row r="202" spans="1:12" x14ac:dyDescent="0.3">
      <c r="A202" s="285"/>
      <c r="B202" s="268"/>
      <c r="C202" s="2" t="s">
        <v>27</v>
      </c>
      <c r="D202" s="3">
        <v>75000</v>
      </c>
      <c r="E202" s="3">
        <v>75000</v>
      </c>
      <c r="F202" s="3"/>
      <c r="G202" s="3"/>
      <c r="H202" s="3"/>
      <c r="I202" s="3"/>
      <c r="J202" s="20">
        <f t="shared" si="69"/>
        <v>75000</v>
      </c>
      <c r="K202" s="108">
        <v>0</v>
      </c>
      <c r="L202" s="3">
        <f t="shared" si="70"/>
        <v>75000</v>
      </c>
    </row>
    <row r="203" spans="1:12" x14ac:dyDescent="0.3">
      <c r="A203" s="285"/>
      <c r="B203" s="268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08">
        <v>24000</v>
      </c>
      <c r="L203" s="3">
        <f t="shared" si="70"/>
        <v>24000</v>
      </c>
    </row>
    <row r="204" spans="1:12" x14ac:dyDescent="0.3">
      <c r="A204" s="285"/>
      <c r="B204" s="268"/>
      <c r="C204" s="2" t="s">
        <v>29</v>
      </c>
      <c r="D204" s="3">
        <v>264000</v>
      </c>
      <c r="E204" s="3">
        <v>481403</v>
      </c>
      <c r="F204" s="3"/>
      <c r="G204" s="3"/>
      <c r="H204" s="3"/>
      <c r="I204" s="3"/>
      <c r="J204" s="20">
        <f t="shared" si="69"/>
        <v>481403</v>
      </c>
      <c r="K204" s="108">
        <v>303643</v>
      </c>
      <c r="L204" s="3">
        <f t="shared" si="70"/>
        <v>177760</v>
      </c>
    </row>
    <row r="205" spans="1:12" x14ac:dyDescent="0.3">
      <c r="A205" s="285"/>
      <c r="B205" s="268"/>
      <c r="C205" s="26" t="s">
        <v>53</v>
      </c>
      <c r="D205" s="7">
        <f>SUM(D199:D204)</f>
        <v>10687165</v>
      </c>
      <c r="E205" s="7">
        <v>10687165</v>
      </c>
      <c r="F205" s="7">
        <f t="shared" ref="F205:L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10687165</v>
      </c>
      <c r="K205" s="110">
        <f t="shared" si="71"/>
        <v>4205530</v>
      </c>
      <c r="L205" s="7">
        <f t="shared" si="71"/>
        <v>6481635</v>
      </c>
    </row>
    <row r="206" spans="1:12" x14ac:dyDescent="0.3">
      <c r="A206" s="285"/>
      <c r="B206" s="268"/>
      <c r="C206" s="86" t="s">
        <v>31</v>
      </c>
      <c r="D206" s="87">
        <v>2120857</v>
      </c>
      <c r="E206" s="87">
        <v>2120857</v>
      </c>
      <c r="F206" s="88"/>
      <c r="G206" s="88"/>
      <c r="H206" s="88"/>
      <c r="I206" s="88"/>
      <c r="J206" s="84">
        <f t="shared" ref="J206:J212" si="72">E206+F206+G206+H206+I206</f>
        <v>2120857</v>
      </c>
      <c r="K206" s="111">
        <v>841728</v>
      </c>
      <c r="L206" s="85">
        <f t="shared" ref="L206:L212" si="73">J206-K206</f>
        <v>1279129</v>
      </c>
    </row>
    <row r="207" spans="1:12" x14ac:dyDescent="0.3">
      <c r="A207" s="285"/>
      <c r="B207" s="268"/>
      <c r="C207" s="99" t="s">
        <v>33</v>
      </c>
      <c r="D207" s="100">
        <v>0</v>
      </c>
      <c r="E207" s="100">
        <v>0</v>
      </c>
      <c r="F207" s="100">
        <v>186928</v>
      </c>
      <c r="G207" s="100"/>
      <c r="H207" s="100"/>
      <c r="I207" s="100"/>
      <c r="J207" s="20">
        <f t="shared" si="72"/>
        <v>186928</v>
      </c>
      <c r="K207" s="114">
        <v>17981</v>
      </c>
      <c r="L207" s="3">
        <f t="shared" si="73"/>
        <v>168947</v>
      </c>
    </row>
    <row r="208" spans="1:12" x14ac:dyDescent="0.3">
      <c r="A208" s="285"/>
      <c r="B208" s="268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4">
        <v>19481</v>
      </c>
      <c r="L208" s="3">
        <f t="shared" si="73"/>
        <v>153319</v>
      </c>
    </row>
    <row r="209" spans="1:12" x14ac:dyDescent="0.3">
      <c r="A209" s="285"/>
      <c r="B209" s="268"/>
      <c r="C209" s="98" t="s">
        <v>38</v>
      </c>
      <c r="D209" s="47">
        <v>0</v>
      </c>
      <c r="E209" s="47">
        <v>0</v>
      </c>
      <c r="F209" s="47">
        <v>3500</v>
      </c>
      <c r="G209" s="47"/>
      <c r="H209" s="47"/>
      <c r="I209" s="47"/>
      <c r="J209" s="20">
        <f t="shared" si="72"/>
        <v>3500</v>
      </c>
      <c r="K209" s="114">
        <v>3500</v>
      </c>
      <c r="L209" s="3">
        <f t="shared" si="73"/>
        <v>0</v>
      </c>
    </row>
    <row r="210" spans="1:12" x14ac:dyDescent="0.3">
      <c r="A210" s="285"/>
      <c r="B210" s="268"/>
      <c r="C210" s="46" t="s">
        <v>42</v>
      </c>
      <c r="D210" s="47">
        <v>0</v>
      </c>
      <c r="E210" s="47">
        <v>56620</v>
      </c>
      <c r="F210" s="47">
        <v>7980</v>
      </c>
      <c r="G210" s="47"/>
      <c r="H210" s="47"/>
      <c r="I210" s="47"/>
      <c r="J210" s="20">
        <f t="shared" si="72"/>
        <v>64600</v>
      </c>
      <c r="K210" s="114">
        <v>64600</v>
      </c>
      <c r="L210" s="3">
        <f t="shared" si="73"/>
        <v>0</v>
      </c>
    </row>
    <row r="211" spans="1:12" x14ac:dyDescent="0.3">
      <c r="A211" s="285"/>
      <c r="B211" s="268"/>
      <c r="C211" s="46" t="s">
        <v>44</v>
      </c>
      <c r="D211" s="47">
        <v>0</v>
      </c>
      <c r="E211" s="47">
        <v>60140</v>
      </c>
      <c r="F211" s="47">
        <f>945+50471</f>
        <v>51416</v>
      </c>
      <c r="G211" s="47"/>
      <c r="H211" s="47"/>
      <c r="I211" s="47"/>
      <c r="J211" s="20">
        <f t="shared" si="72"/>
        <v>111556</v>
      </c>
      <c r="K211" s="114">
        <v>31051</v>
      </c>
      <c r="L211" s="3">
        <f t="shared" si="73"/>
        <v>80505</v>
      </c>
    </row>
    <row r="212" spans="1:12" x14ac:dyDescent="0.3">
      <c r="A212" s="285"/>
      <c r="B212" s="268"/>
      <c r="C212" s="46" t="s">
        <v>45</v>
      </c>
      <c r="D212" s="47">
        <v>0</v>
      </c>
      <c r="E212" s="47">
        <v>276854</v>
      </c>
      <c r="F212" s="47"/>
      <c r="G212" s="47"/>
      <c r="H212" s="47"/>
      <c r="I212" s="47"/>
      <c r="J212" s="20">
        <f t="shared" si="72"/>
        <v>276854</v>
      </c>
      <c r="K212" s="114">
        <v>184479</v>
      </c>
      <c r="L212" s="3">
        <f t="shared" si="73"/>
        <v>92375</v>
      </c>
    </row>
    <row r="213" spans="1:12" x14ac:dyDescent="0.3">
      <c r="A213" s="263"/>
      <c r="B213" s="265"/>
      <c r="C213" s="49" t="s">
        <v>49</v>
      </c>
      <c r="D213" s="50">
        <f>SUM(D207:D212)</f>
        <v>0</v>
      </c>
      <c r="E213" s="50">
        <f t="shared" ref="E213:L213" si="74">SUM(E207:E212)</f>
        <v>566414</v>
      </c>
      <c r="F213" s="50">
        <f t="shared" si="74"/>
        <v>249824</v>
      </c>
      <c r="G213" s="50">
        <f t="shared" si="74"/>
        <v>0</v>
      </c>
      <c r="H213" s="50">
        <f t="shared" si="74"/>
        <v>0</v>
      </c>
      <c r="I213" s="50">
        <f t="shared" si="74"/>
        <v>0</v>
      </c>
      <c r="J213" s="50">
        <f t="shared" si="74"/>
        <v>816238</v>
      </c>
      <c r="K213" s="115">
        <f t="shared" si="74"/>
        <v>321092</v>
      </c>
      <c r="L213" s="50">
        <f t="shared" si="74"/>
        <v>495146</v>
      </c>
    </row>
    <row r="214" spans="1:12" x14ac:dyDescent="0.3">
      <c r="A214" s="254" t="s">
        <v>68</v>
      </c>
      <c r="B214" s="279" t="s">
        <v>46</v>
      </c>
      <c r="C214" s="16" t="s">
        <v>24</v>
      </c>
      <c r="D214" s="17">
        <v>2501556</v>
      </c>
      <c r="E214" s="17">
        <v>2501556</v>
      </c>
      <c r="F214" s="17"/>
      <c r="G214" s="17"/>
      <c r="H214" s="17"/>
      <c r="I214" s="17"/>
      <c r="J214" s="20">
        <f>E214+F214+G214+H214+I214</f>
        <v>2501556</v>
      </c>
      <c r="K214" s="108">
        <v>1027065</v>
      </c>
      <c r="L214" s="3">
        <f t="shared" ref="L214:L215" si="75">J214-K214</f>
        <v>1474491</v>
      </c>
    </row>
    <row r="215" spans="1:12" x14ac:dyDescent="0.3">
      <c r="A215" s="262"/>
      <c r="B215" s="280"/>
      <c r="C215" s="18" t="s">
        <v>31</v>
      </c>
      <c r="D215" s="19">
        <v>466569</v>
      </c>
      <c r="E215" s="19">
        <v>466569</v>
      </c>
      <c r="F215" s="19"/>
      <c r="G215" s="19"/>
      <c r="H215" s="19"/>
      <c r="I215" s="19"/>
      <c r="J215" s="20">
        <f t="shared" ref="J215" si="76">E215+F215+G215+H215+I215</f>
        <v>466569</v>
      </c>
      <c r="K215" s="108">
        <v>200275</v>
      </c>
      <c r="L215" s="3">
        <f t="shared" si="75"/>
        <v>266294</v>
      </c>
    </row>
    <row r="216" spans="1:12" x14ac:dyDescent="0.3">
      <c r="A216" s="319" t="s">
        <v>82</v>
      </c>
      <c r="B216" s="320"/>
      <c r="C216" s="321"/>
      <c r="D216" s="78">
        <f>SUM(D205+D206+D214+D215+D213)</f>
        <v>15776147</v>
      </c>
      <c r="E216" s="78">
        <v>16312401</v>
      </c>
      <c r="F216" s="78">
        <f t="shared" ref="F216:I216" si="77">SUM(F205+F206+F214+F215+F213)</f>
        <v>249824</v>
      </c>
      <c r="G216" s="78">
        <f t="shared" si="77"/>
        <v>0</v>
      </c>
      <c r="H216" s="78">
        <f t="shared" si="77"/>
        <v>0</v>
      </c>
      <c r="I216" s="78">
        <f t="shared" si="77"/>
        <v>0</v>
      </c>
      <c r="J216" s="78">
        <f>SUM(J205+J206+J214+J215+J213)</f>
        <v>16592385</v>
      </c>
      <c r="K216" s="116">
        <f>SUM(K205+K206+K214+K215+K213)</f>
        <v>6595690</v>
      </c>
      <c r="L216" s="79">
        <f>SUM(L205+L206+L214+L215+L213)</f>
        <v>9996695</v>
      </c>
    </row>
    <row r="217" spans="1:12" ht="30.75" customHeight="1" x14ac:dyDescent="0.3">
      <c r="A217" s="316" t="s">
        <v>74</v>
      </c>
      <c r="B217" s="317"/>
      <c r="C217" s="318"/>
      <c r="D217" s="77">
        <f t="shared" ref="D217" si="78">SUM(D88+D113+D135+D156+D179+D198+D216)</f>
        <v>230443641</v>
      </c>
      <c r="E217" s="77">
        <v>230443641</v>
      </c>
      <c r="F217" s="77">
        <f t="shared" ref="F217:K217" si="79">SUM(F88+F113+F135+F156+F179+F198+F216)</f>
        <v>0</v>
      </c>
      <c r="G217" s="77">
        <f t="shared" si="79"/>
        <v>12000</v>
      </c>
      <c r="H217" s="77">
        <f t="shared" si="79"/>
        <v>66208</v>
      </c>
      <c r="I217" s="77">
        <f t="shared" si="79"/>
        <v>0</v>
      </c>
      <c r="J217" s="77">
        <f t="shared" si="79"/>
        <v>230521849</v>
      </c>
      <c r="K217" s="109">
        <f t="shared" si="79"/>
        <v>81431680</v>
      </c>
      <c r="L217" s="77">
        <f>SUM(L88+L113+L135+L156+L179+L198+L216)</f>
        <v>149090169</v>
      </c>
    </row>
    <row r="218" spans="1:12" x14ac:dyDescent="0.3">
      <c r="B218" s="5"/>
      <c r="E218" s="4"/>
      <c r="F218" s="4"/>
      <c r="G218" s="4"/>
      <c r="H218" s="4"/>
      <c r="I218" s="4"/>
      <c r="J218" s="4"/>
      <c r="K218" s="107"/>
    </row>
    <row r="219" spans="1:12" x14ac:dyDescent="0.3">
      <c r="B219" s="5"/>
      <c r="E219" s="4"/>
      <c r="F219" s="4"/>
      <c r="G219" s="4"/>
      <c r="H219" s="4"/>
      <c r="I219" s="4"/>
      <c r="J219" s="4"/>
      <c r="K219" s="107"/>
    </row>
    <row r="220" spans="1:12" x14ac:dyDescent="0.3">
      <c r="B220" s="5"/>
      <c r="E220" s="4"/>
      <c r="F220" s="4"/>
      <c r="G220" s="4"/>
      <c r="H220" s="4"/>
      <c r="I220" s="4"/>
      <c r="J220" s="4"/>
      <c r="K220" s="107"/>
    </row>
    <row r="221" spans="1:12" x14ac:dyDescent="0.3">
      <c r="B221" s="5"/>
      <c r="E221" s="4"/>
      <c r="F221" s="4"/>
      <c r="G221" s="4"/>
      <c r="H221" s="4"/>
      <c r="I221" s="4"/>
      <c r="J221" s="4"/>
      <c r="K221" s="107"/>
    </row>
    <row r="222" spans="1:12" x14ac:dyDescent="0.3">
      <c r="B222" s="5"/>
      <c r="E222" s="4"/>
      <c r="F222" s="4"/>
      <c r="G222" s="4"/>
      <c r="H222" s="4"/>
      <c r="I222" s="4"/>
      <c r="J222" s="4"/>
      <c r="K222" s="107"/>
    </row>
    <row r="223" spans="1:12" ht="15" thickBot="1" x14ac:dyDescent="0.35">
      <c r="B223" s="5"/>
      <c r="E223" s="4"/>
      <c r="F223" s="4"/>
      <c r="G223" s="4"/>
      <c r="H223" s="4"/>
      <c r="I223" s="4"/>
      <c r="J223" s="4"/>
      <c r="K223" s="107"/>
    </row>
    <row r="224" spans="1:12" ht="15" thickTop="1" x14ac:dyDescent="0.3">
      <c r="A224" s="283" t="s">
        <v>83</v>
      </c>
      <c r="B224" s="283"/>
      <c r="C224" s="283"/>
      <c r="D224" s="283"/>
      <c r="E224" s="283"/>
      <c r="F224" s="283"/>
      <c r="G224" s="283"/>
      <c r="H224" s="283"/>
      <c r="I224" s="283"/>
      <c r="J224" s="283"/>
      <c r="K224" s="283"/>
    </row>
    <row r="225" spans="1:11" s="75" customFormat="1" ht="33.75" customHeight="1" x14ac:dyDescent="0.3">
      <c r="A225" s="323" t="s">
        <v>0</v>
      </c>
      <c r="B225" s="324"/>
      <c r="C225" s="71" t="s">
        <v>3</v>
      </c>
      <c r="D225" s="71" t="s">
        <v>4</v>
      </c>
      <c r="E225" s="73" t="s">
        <v>90</v>
      </c>
      <c r="F225" s="72" t="s">
        <v>70</v>
      </c>
      <c r="G225" s="105" t="s">
        <v>103</v>
      </c>
      <c r="H225" s="106" t="s">
        <v>101</v>
      </c>
      <c r="I225" s="73" t="s">
        <v>71</v>
      </c>
      <c r="J225" s="73" t="s">
        <v>96</v>
      </c>
      <c r="K225" s="74" t="s">
        <v>95</v>
      </c>
    </row>
    <row r="226" spans="1:11" x14ac:dyDescent="0.3">
      <c r="A226" s="325"/>
      <c r="B226" s="326"/>
      <c r="C226" s="33" t="s">
        <v>16</v>
      </c>
      <c r="D226" s="34">
        <f t="shared" ref="D226:K227" si="80">D5+D14+D16+D18+D20+D22</f>
        <v>117230959</v>
      </c>
      <c r="E226" s="34">
        <f t="shared" si="80"/>
        <v>117230959</v>
      </c>
      <c r="F226" s="34">
        <f t="shared" si="80"/>
        <v>0</v>
      </c>
      <c r="G226" s="34">
        <f t="shared" si="80"/>
        <v>0</v>
      </c>
      <c r="H226" s="34">
        <f t="shared" si="80"/>
        <v>66208</v>
      </c>
      <c r="I226" s="34">
        <f t="shared" si="80"/>
        <v>0</v>
      </c>
      <c r="J226" s="34">
        <f t="shared" si="80"/>
        <v>117297167</v>
      </c>
      <c r="K226" s="34">
        <f t="shared" si="80"/>
        <v>37352830</v>
      </c>
    </row>
    <row r="227" spans="1:11" x14ac:dyDescent="0.3">
      <c r="A227" s="325"/>
      <c r="B227" s="326"/>
      <c r="C227" s="33" t="s">
        <v>17</v>
      </c>
      <c r="D227" s="34">
        <f t="shared" si="80"/>
        <v>16012810</v>
      </c>
      <c r="E227" s="34">
        <f t="shared" si="80"/>
        <v>16012810</v>
      </c>
      <c r="F227" s="34">
        <f t="shared" si="80"/>
        <v>0</v>
      </c>
      <c r="G227" s="34">
        <f t="shared" si="80"/>
        <v>0</v>
      </c>
      <c r="H227" s="34">
        <f t="shared" si="80"/>
        <v>0</v>
      </c>
      <c r="I227" s="34">
        <f t="shared" si="80"/>
        <v>0</v>
      </c>
      <c r="J227" s="34">
        <f t="shared" si="80"/>
        <v>16012810</v>
      </c>
      <c r="K227" s="34">
        <f t="shared" si="80"/>
        <v>16012810</v>
      </c>
    </row>
    <row r="228" spans="1:11" x14ac:dyDescent="0.3">
      <c r="A228" s="325"/>
      <c r="B228" s="326"/>
      <c r="C228" s="33" t="s">
        <v>18</v>
      </c>
      <c r="D228" s="34">
        <f t="shared" ref="D228:K230" si="81">D7</f>
        <v>96985672</v>
      </c>
      <c r="E228" s="34">
        <f t="shared" si="81"/>
        <v>96985672</v>
      </c>
      <c r="F228" s="34">
        <f t="shared" si="81"/>
        <v>0</v>
      </c>
      <c r="G228" s="34">
        <f t="shared" si="81"/>
        <v>0</v>
      </c>
      <c r="H228" s="34">
        <f t="shared" si="81"/>
        <v>0</v>
      </c>
      <c r="I228" s="34">
        <f t="shared" si="81"/>
        <v>0</v>
      </c>
      <c r="J228" s="34">
        <f t="shared" si="81"/>
        <v>96985672</v>
      </c>
      <c r="K228" s="34">
        <f t="shared" si="81"/>
        <v>41271953</v>
      </c>
    </row>
    <row r="229" spans="1:11" x14ac:dyDescent="0.3">
      <c r="A229" s="325"/>
      <c r="B229" s="326"/>
      <c r="C229" s="35" t="s">
        <v>22</v>
      </c>
      <c r="D229" s="34">
        <f t="shared" si="81"/>
        <v>200000</v>
      </c>
      <c r="E229" s="34">
        <f t="shared" si="81"/>
        <v>200000</v>
      </c>
      <c r="F229" s="34">
        <f t="shared" si="81"/>
        <v>0</v>
      </c>
      <c r="G229" s="34">
        <f t="shared" si="81"/>
        <v>0</v>
      </c>
      <c r="H229" s="34">
        <f t="shared" si="81"/>
        <v>0</v>
      </c>
      <c r="I229" s="34">
        <f t="shared" si="81"/>
        <v>0</v>
      </c>
      <c r="J229" s="34">
        <f t="shared" si="81"/>
        <v>200000</v>
      </c>
      <c r="K229" s="34">
        <f t="shared" si="81"/>
        <v>0</v>
      </c>
    </row>
    <row r="230" spans="1:11" x14ac:dyDescent="0.3">
      <c r="A230" s="325"/>
      <c r="B230" s="326"/>
      <c r="C230" s="35" t="s">
        <v>19</v>
      </c>
      <c r="D230" s="34">
        <f t="shared" si="81"/>
        <v>13200</v>
      </c>
      <c r="E230" s="34">
        <f t="shared" si="81"/>
        <v>11540</v>
      </c>
      <c r="F230" s="34">
        <f t="shared" si="81"/>
        <v>0</v>
      </c>
      <c r="G230" s="34">
        <f t="shared" si="81"/>
        <v>5000</v>
      </c>
      <c r="H230" s="34">
        <f t="shared" si="81"/>
        <v>0</v>
      </c>
      <c r="I230" s="34">
        <f t="shared" si="81"/>
        <v>0</v>
      </c>
      <c r="J230" s="34">
        <f t="shared" si="81"/>
        <v>16540</v>
      </c>
      <c r="K230" s="34">
        <f t="shared" si="81"/>
        <v>5379</v>
      </c>
    </row>
    <row r="231" spans="1:11" x14ac:dyDescent="0.3">
      <c r="A231" s="325"/>
      <c r="B231" s="326"/>
      <c r="C231" s="35" t="s">
        <v>84</v>
      </c>
      <c r="D231" s="34">
        <f>D13+D11</f>
        <v>0</v>
      </c>
      <c r="E231" s="34">
        <f>E13+E11</f>
        <v>2539</v>
      </c>
      <c r="F231" s="34">
        <f t="shared" ref="F231:K231" si="82">F13+F11</f>
        <v>-300</v>
      </c>
      <c r="G231" s="34">
        <f t="shared" si="82"/>
        <v>7000</v>
      </c>
      <c r="H231" s="34">
        <f t="shared" si="82"/>
        <v>0</v>
      </c>
      <c r="I231" s="34">
        <f t="shared" si="82"/>
        <v>0</v>
      </c>
      <c r="J231" s="34">
        <f>J13+J11</f>
        <v>9239</v>
      </c>
      <c r="K231" s="34">
        <f t="shared" si="82"/>
        <v>3235</v>
      </c>
    </row>
    <row r="232" spans="1:11" x14ac:dyDescent="0.3">
      <c r="A232" s="325"/>
      <c r="B232" s="326"/>
      <c r="C232" s="33" t="s">
        <v>20</v>
      </c>
      <c r="D232" s="34">
        <f>D10+D12</f>
        <v>1000</v>
      </c>
      <c r="E232" s="34">
        <f>E10+E12</f>
        <v>121</v>
      </c>
      <c r="F232" s="34">
        <f t="shared" ref="F232:K232" si="83">F10+F12</f>
        <v>300</v>
      </c>
      <c r="G232" s="34">
        <f t="shared" si="83"/>
        <v>0</v>
      </c>
      <c r="H232" s="34">
        <f t="shared" si="83"/>
        <v>0</v>
      </c>
      <c r="I232" s="34">
        <f t="shared" si="83"/>
        <v>0</v>
      </c>
      <c r="J232" s="34">
        <f t="shared" si="83"/>
        <v>421</v>
      </c>
      <c r="K232" s="34">
        <f t="shared" si="83"/>
        <v>173</v>
      </c>
    </row>
    <row r="233" spans="1:11" x14ac:dyDescent="0.3">
      <c r="A233" s="325"/>
      <c r="B233" s="326"/>
      <c r="C233" s="63" t="s">
        <v>86</v>
      </c>
      <c r="D233" s="64">
        <f>D13+D12+D11+D10+D9</f>
        <v>14200</v>
      </c>
      <c r="E233" s="64">
        <f>E13+E12+E11+E10+E9</f>
        <v>14200</v>
      </c>
      <c r="F233" s="64">
        <f t="shared" ref="F233:K233" si="84">F13+F12+F11+F10+F9</f>
        <v>0</v>
      </c>
      <c r="G233" s="64">
        <f t="shared" si="84"/>
        <v>12000</v>
      </c>
      <c r="H233" s="64">
        <f t="shared" si="84"/>
        <v>0</v>
      </c>
      <c r="I233" s="64">
        <f t="shared" si="84"/>
        <v>0</v>
      </c>
      <c r="J233" s="64">
        <f t="shared" si="84"/>
        <v>26200</v>
      </c>
      <c r="K233" s="64">
        <f t="shared" si="84"/>
        <v>8787</v>
      </c>
    </row>
    <row r="234" spans="1:11" x14ac:dyDescent="0.3">
      <c r="A234" s="325"/>
      <c r="B234" s="326"/>
      <c r="C234" s="63" t="s">
        <v>87</v>
      </c>
      <c r="D234" s="64">
        <f>D23+D21+D19+D17+D15+D7+D6</f>
        <v>112998482</v>
      </c>
      <c r="E234" s="64">
        <f>E23+E21+E19+E17+E15+E7+E6</f>
        <v>112998482</v>
      </c>
      <c r="F234" s="64">
        <f t="shared" ref="F234:K234" si="85">F23+F21+F19+F17+F15+F7+F6</f>
        <v>0</v>
      </c>
      <c r="G234" s="64">
        <f t="shared" si="85"/>
        <v>0</v>
      </c>
      <c r="H234" s="64">
        <f t="shared" si="85"/>
        <v>0</v>
      </c>
      <c r="I234" s="64">
        <f t="shared" si="85"/>
        <v>0</v>
      </c>
      <c r="J234" s="64">
        <f t="shared" si="85"/>
        <v>112998482</v>
      </c>
      <c r="K234" s="64">
        <f t="shared" si="85"/>
        <v>57284763</v>
      </c>
    </row>
    <row r="235" spans="1:11" x14ac:dyDescent="0.3">
      <c r="A235" s="325"/>
      <c r="B235" s="326"/>
      <c r="C235" s="63" t="s">
        <v>94</v>
      </c>
      <c r="D235" s="64">
        <f>D5+D6+D7+D8+D9+D10+D11+D12+D13+D14+D15+D16+D17+D18+D19+D20+D21+D22+D23</f>
        <v>230443641</v>
      </c>
      <c r="E235" s="64">
        <f t="shared" ref="E235:K235" si="86">E5+E6+E7+E8+E9+E10+E11+E12+E13+E14+E15+E16+E17+E18+E19+E20+E21+E22+E23</f>
        <v>230443641</v>
      </c>
      <c r="F235" s="64">
        <f t="shared" si="86"/>
        <v>0</v>
      </c>
      <c r="G235" s="64">
        <f t="shared" si="86"/>
        <v>12000</v>
      </c>
      <c r="H235" s="64">
        <f t="shared" si="86"/>
        <v>66208</v>
      </c>
      <c r="I235" s="64">
        <f t="shared" si="86"/>
        <v>0</v>
      </c>
      <c r="J235" s="64">
        <f t="shared" si="86"/>
        <v>230521849</v>
      </c>
      <c r="K235" s="64">
        <f t="shared" si="86"/>
        <v>94646380</v>
      </c>
    </row>
    <row r="236" spans="1:11" x14ac:dyDescent="0.3">
      <c r="A236" s="325"/>
      <c r="B236" s="326"/>
      <c r="C236" s="33" t="s">
        <v>24</v>
      </c>
      <c r="D236" s="34">
        <f>D89+D111+D114+D133+D136+D154+D157+D177+D199+D214+D180+D86+D84+D52+D25</f>
        <v>128356144</v>
      </c>
      <c r="E236" s="34">
        <f>E89+E111+E114+E133+E136+E154+E157+E177+E199+E214+E180+E86+E84+E52+E25</f>
        <v>127969044</v>
      </c>
      <c r="F236" s="34">
        <f t="shared" ref="F236:J236" si="87">F89+F111+F114+F133+F136+F154+F157+F177+F199+F214+F180+F86+F84+F52+F25</f>
        <v>-86770</v>
      </c>
      <c r="G236" s="34">
        <f t="shared" si="87"/>
        <v>0</v>
      </c>
      <c r="H236" s="34">
        <f t="shared" si="87"/>
        <v>55404</v>
      </c>
      <c r="I236" s="34">
        <f t="shared" si="87"/>
        <v>0</v>
      </c>
      <c r="J236" s="34">
        <f t="shared" si="87"/>
        <v>127937678</v>
      </c>
      <c r="K236" s="34">
        <f>K214+K199+K180+K177+K157+K154+K136+K133+K114+K111+K89+K86+K84+K52+K25</f>
        <v>45581612</v>
      </c>
    </row>
    <row r="237" spans="1:11" x14ac:dyDescent="0.3">
      <c r="A237" s="325"/>
      <c r="B237" s="326"/>
      <c r="C237" s="33" t="s">
        <v>47</v>
      </c>
      <c r="D237" s="34">
        <f t="shared" ref="D237:K238" si="88">D53</f>
        <v>2040480</v>
      </c>
      <c r="E237" s="34">
        <f t="shared" si="88"/>
        <v>2040480</v>
      </c>
      <c r="F237" s="34">
        <f t="shared" si="88"/>
        <v>0</v>
      </c>
      <c r="G237" s="34">
        <f t="shared" si="88"/>
        <v>0</v>
      </c>
      <c r="H237" s="34">
        <f t="shared" si="88"/>
        <v>0</v>
      </c>
      <c r="I237" s="34">
        <f t="shared" si="88"/>
        <v>0</v>
      </c>
      <c r="J237" s="34">
        <f t="shared" si="88"/>
        <v>2040480</v>
      </c>
      <c r="K237" s="41">
        <f t="shared" si="88"/>
        <v>785829</v>
      </c>
    </row>
    <row r="238" spans="1:11" x14ac:dyDescent="0.3">
      <c r="A238" s="325"/>
      <c r="B238" s="326"/>
      <c r="C238" s="33" t="s">
        <v>48</v>
      </c>
      <c r="D238" s="34">
        <f t="shared" si="88"/>
        <v>0</v>
      </c>
      <c r="E238" s="34">
        <f t="shared" si="88"/>
        <v>0</v>
      </c>
      <c r="F238" s="34">
        <f t="shared" si="88"/>
        <v>0</v>
      </c>
      <c r="G238" s="34">
        <f t="shared" si="88"/>
        <v>0</v>
      </c>
      <c r="H238" s="34">
        <f t="shared" si="88"/>
        <v>0</v>
      </c>
      <c r="I238" s="34">
        <f t="shared" si="88"/>
        <v>0</v>
      </c>
      <c r="J238" s="34">
        <f t="shared" si="88"/>
        <v>0</v>
      </c>
      <c r="K238" s="34">
        <f t="shared" si="88"/>
        <v>0</v>
      </c>
    </row>
    <row r="239" spans="1:11" x14ac:dyDescent="0.3">
      <c r="A239" s="325"/>
      <c r="B239" s="326"/>
      <c r="C239" s="35" t="s">
        <v>25</v>
      </c>
      <c r="D239" s="34">
        <f t="shared" ref="D239:K240" si="89">D200+D158+D137+D115+D90+D55+D26</f>
        <v>3992000</v>
      </c>
      <c r="E239" s="34">
        <f t="shared" si="89"/>
        <v>3992000</v>
      </c>
      <c r="F239" s="34">
        <f t="shared" si="89"/>
        <v>0</v>
      </c>
      <c r="G239" s="34">
        <f t="shared" si="89"/>
        <v>0</v>
      </c>
      <c r="H239" s="34">
        <f t="shared" si="89"/>
        <v>0</v>
      </c>
      <c r="I239" s="34">
        <f t="shared" si="89"/>
        <v>0</v>
      </c>
      <c r="J239" s="34">
        <f t="shared" si="89"/>
        <v>3992000</v>
      </c>
      <c r="K239" s="34">
        <f t="shared" si="89"/>
        <v>1887500</v>
      </c>
    </row>
    <row r="240" spans="1:11" x14ac:dyDescent="0.3">
      <c r="A240" s="325"/>
      <c r="B240" s="326"/>
      <c r="C240" s="35" t="s">
        <v>26</v>
      </c>
      <c r="D240" s="34">
        <f t="shared" si="89"/>
        <v>200000</v>
      </c>
      <c r="E240" s="34">
        <f t="shared" si="89"/>
        <v>200000</v>
      </c>
      <c r="F240" s="34">
        <f t="shared" si="89"/>
        <v>0</v>
      </c>
      <c r="G240" s="34">
        <f t="shared" si="89"/>
        <v>0</v>
      </c>
      <c r="H240" s="34">
        <f t="shared" si="89"/>
        <v>0</v>
      </c>
      <c r="I240" s="34">
        <f t="shared" si="89"/>
        <v>0</v>
      </c>
      <c r="J240" s="34">
        <f t="shared" si="89"/>
        <v>200000</v>
      </c>
      <c r="K240" s="34">
        <f t="shared" si="89"/>
        <v>0</v>
      </c>
    </row>
    <row r="241" spans="1:11" x14ac:dyDescent="0.3">
      <c r="A241" s="325"/>
      <c r="B241" s="326"/>
      <c r="C241" s="33" t="s">
        <v>27</v>
      </c>
      <c r="D241" s="34">
        <f>D202+D139+D92+D57+D28</f>
        <v>1661400</v>
      </c>
      <c r="E241" s="34">
        <f>E202+E139+E92+E57+E28</f>
        <v>1661400</v>
      </c>
      <c r="F241" s="34">
        <f t="shared" ref="F241:J241" si="90">F202+F139+F92+F57+F28</f>
        <v>0</v>
      </c>
      <c r="G241" s="34">
        <f t="shared" si="90"/>
        <v>0</v>
      </c>
      <c r="H241" s="34">
        <f t="shared" si="90"/>
        <v>0</v>
      </c>
      <c r="I241" s="34">
        <f t="shared" si="90"/>
        <v>0</v>
      </c>
      <c r="J241" s="34">
        <f t="shared" si="90"/>
        <v>1661400</v>
      </c>
      <c r="K241" s="34">
        <f>K202+K139+K92+K57+K28</f>
        <v>435776</v>
      </c>
    </row>
    <row r="242" spans="1:11" x14ac:dyDescent="0.3">
      <c r="A242" s="325"/>
      <c r="B242" s="326"/>
      <c r="C242" s="35" t="s">
        <v>28</v>
      </c>
      <c r="D242" s="34">
        <f>D203+D160+D140+D117+D58+D29+D93</f>
        <v>481000</v>
      </c>
      <c r="E242" s="34">
        <f>E203+E160+E140+E117+E58+E29+E93</f>
        <v>481000</v>
      </c>
      <c r="F242" s="34">
        <f t="shared" ref="F242:J242" si="91">F203+F160+F140+F117+F58+F29+F93</f>
        <v>0</v>
      </c>
      <c r="G242" s="34">
        <f t="shared" si="91"/>
        <v>0</v>
      </c>
      <c r="H242" s="34">
        <f t="shared" si="91"/>
        <v>0</v>
      </c>
      <c r="I242" s="34">
        <f t="shared" si="91"/>
        <v>0</v>
      </c>
      <c r="J242" s="34">
        <f t="shared" si="91"/>
        <v>481000</v>
      </c>
      <c r="K242" s="34">
        <f>K203+K160+K140+K117+K58+K29+K93</f>
        <v>222000</v>
      </c>
    </row>
    <row r="243" spans="1:11" x14ac:dyDescent="0.3">
      <c r="A243" s="325"/>
      <c r="B243" s="326"/>
      <c r="C243" s="33" t="s">
        <v>29</v>
      </c>
      <c r="D243" s="34">
        <f>D204+D175+D161+D141+D118+D109+D94+D82+D80+D59+D30+D131</f>
        <v>3451400</v>
      </c>
      <c r="E243" s="34">
        <f>E204+E175+E161+E141+E118+E109+E94+E82+E80+E59+E30+E131</f>
        <v>3838500</v>
      </c>
      <c r="F243" s="34">
        <f t="shared" ref="F243:J243" si="92">F204+F175+F161+F141+F118+F109+F94+F82+F80+F59+F30+F131</f>
        <v>86770</v>
      </c>
      <c r="G243" s="34">
        <f t="shared" si="92"/>
        <v>0</v>
      </c>
      <c r="H243" s="34">
        <f t="shared" si="92"/>
        <v>0</v>
      </c>
      <c r="I243" s="34">
        <f t="shared" si="92"/>
        <v>0</v>
      </c>
      <c r="J243" s="34">
        <f t="shared" si="92"/>
        <v>3925270</v>
      </c>
      <c r="K243" s="34">
        <f>K204+K175+K161+K141+K118+K109+K94+K82+K80+K59+K30+K131</f>
        <v>1284740</v>
      </c>
    </row>
    <row r="244" spans="1:11" x14ac:dyDescent="0.3">
      <c r="A244" s="325"/>
      <c r="B244" s="326"/>
      <c r="C244" s="35" t="s">
        <v>30</v>
      </c>
      <c r="D244" s="34">
        <f>D162+D142+D119+D60+D31+D181</f>
        <v>200000</v>
      </c>
      <c r="E244" s="34">
        <f t="shared" ref="E244:K244" si="93">E162+E142+E119+E60+E31+E181</f>
        <v>200000</v>
      </c>
      <c r="F244" s="34">
        <f t="shared" si="93"/>
        <v>10500000</v>
      </c>
      <c r="G244" s="34">
        <f t="shared" si="93"/>
        <v>0</v>
      </c>
      <c r="H244" s="34">
        <f t="shared" si="93"/>
        <v>0</v>
      </c>
      <c r="I244" s="34">
        <f t="shared" si="93"/>
        <v>0</v>
      </c>
      <c r="J244" s="34">
        <f t="shared" si="93"/>
        <v>10700000</v>
      </c>
      <c r="K244" s="34">
        <f t="shared" si="93"/>
        <v>3000</v>
      </c>
    </row>
    <row r="245" spans="1:11" x14ac:dyDescent="0.3">
      <c r="A245" s="325"/>
      <c r="B245" s="326"/>
      <c r="C245" s="63" t="s">
        <v>53</v>
      </c>
      <c r="D245" s="64">
        <f>D205+D182+D163+D143+D214+D177+D154+D133+D131+D175+D120+D111+D109+D96+D86+D84+D82+D80+D61+D32</f>
        <v>140382424</v>
      </c>
      <c r="E245" s="64">
        <f t="shared" ref="E245:K245" si="94">E205+E182+E163+E143+E214+E177+E154+E133+E131+E175+E120+E111+E109+E96+E86+E84+E82+E80+E61+E32</f>
        <v>140382424</v>
      </c>
      <c r="F245" s="64">
        <f t="shared" si="94"/>
        <v>10500000</v>
      </c>
      <c r="G245" s="64">
        <f t="shared" si="94"/>
        <v>0</v>
      </c>
      <c r="H245" s="64">
        <f t="shared" si="94"/>
        <v>55404</v>
      </c>
      <c r="I245" s="64">
        <f t="shared" si="94"/>
        <v>0</v>
      </c>
      <c r="J245" s="64">
        <f t="shared" si="94"/>
        <v>150937828</v>
      </c>
      <c r="K245" s="64">
        <f t="shared" si="94"/>
        <v>50200457</v>
      </c>
    </row>
    <row r="246" spans="1:11" x14ac:dyDescent="0.3">
      <c r="A246" s="325"/>
      <c r="B246" s="326"/>
      <c r="C246" s="65" t="s">
        <v>31</v>
      </c>
      <c r="D246" s="64">
        <f>D206+D183+D178+D176+D215+D164+D155+D144+D134+D132+D121+D112+D110+D97+D87+D85+D83+D81+D62+D33</f>
        <v>27536677</v>
      </c>
      <c r="E246" s="64">
        <f>E206+E183+E178+E176+E215+E164+E155+E144+E134+E132+E121+E112+E110+E97+E87+E85+E83+E81+E62+E33</f>
        <v>27536677</v>
      </c>
      <c r="F246" s="64">
        <f t="shared" ref="F246:K246" si="95">F206+F183+F178+F176+F215+F164+F155+F144+F134+F132+F121+F112+F110+F97+F87+F85+F83+F81+F62+F33</f>
        <v>0</v>
      </c>
      <c r="G246" s="64">
        <f t="shared" si="95"/>
        <v>0</v>
      </c>
      <c r="H246" s="64">
        <f t="shared" si="95"/>
        <v>10804</v>
      </c>
      <c r="I246" s="64">
        <f t="shared" si="95"/>
        <v>0</v>
      </c>
      <c r="J246" s="64">
        <f t="shared" si="95"/>
        <v>27547481</v>
      </c>
      <c r="K246" s="64">
        <f t="shared" si="95"/>
        <v>10355450</v>
      </c>
    </row>
    <row r="247" spans="1:11" x14ac:dyDescent="0.3">
      <c r="A247" s="325"/>
      <c r="B247" s="326"/>
      <c r="C247" s="33" t="s">
        <v>32</v>
      </c>
      <c r="D247" s="34">
        <f>D165+D145+D122+D98+D63+D34</f>
        <v>540000</v>
      </c>
      <c r="E247" s="34">
        <f>E165+E145+E122+E98+E63+E34</f>
        <v>540000</v>
      </c>
      <c r="F247" s="34">
        <f t="shared" ref="F247:K247" si="96">F165+F145+F122+F98+F63+F34</f>
        <v>0</v>
      </c>
      <c r="G247" s="34">
        <f t="shared" si="96"/>
        <v>0</v>
      </c>
      <c r="H247" s="34">
        <f t="shared" si="96"/>
        <v>0</v>
      </c>
      <c r="I247" s="34">
        <f t="shared" si="96"/>
        <v>0</v>
      </c>
      <c r="J247" s="34">
        <f t="shared" si="96"/>
        <v>540000</v>
      </c>
      <c r="K247" s="34">
        <f t="shared" si="96"/>
        <v>35559</v>
      </c>
    </row>
    <row r="248" spans="1:11" x14ac:dyDescent="0.3">
      <c r="A248" s="325"/>
      <c r="B248" s="326"/>
      <c r="C248" s="35" t="s">
        <v>33</v>
      </c>
      <c r="D248" s="34">
        <f>D184+D166+D146+D123+D99+D64+D35+D207</f>
        <v>1700000</v>
      </c>
      <c r="E248" s="34">
        <f t="shared" ref="E248:K248" si="97">E184+E166+E146+E123+E99+E64+E35+E207</f>
        <v>1700000</v>
      </c>
      <c r="F248" s="34">
        <f t="shared" si="97"/>
        <v>186928</v>
      </c>
      <c r="G248" s="34">
        <f t="shared" si="97"/>
        <v>0</v>
      </c>
      <c r="H248" s="34">
        <f t="shared" si="97"/>
        <v>0</v>
      </c>
      <c r="I248" s="34">
        <f t="shared" si="97"/>
        <v>0</v>
      </c>
      <c r="J248" s="34">
        <f t="shared" si="97"/>
        <v>1886928</v>
      </c>
      <c r="K248" s="34">
        <f t="shared" si="97"/>
        <v>31053</v>
      </c>
    </row>
    <row r="249" spans="1:11" x14ac:dyDescent="0.3">
      <c r="A249" s="325"/>
      <c r="B249" s="326"/>
      <c r="C249" s="33" t="s">
        <v>34</v>
      </c>
      <c r="D249" s="34">
        <f>D167+D147+D124+D100+D65+D36</f>
        <v>1036000</v>
      </c>
      <c r="E249" s="34">
        <f>E167+E147+E124+E100+E65+E36</f>
        <v>988000</v>
      </c>
      <c r="F249" s="34">
        <f t="shared" ref="F249:K249" si="98">F167+F147+F124+F100+F65+F36</f>
        <v>0</v>
      </c>
      <c r="G249" s="34">
        <f t="shared" si="98"/>
        <v>0</v>
      </c>
      <c r="H249" s="34">
        <f t="shared" si="98"/>
        <v>0</v>
      </c>
      <c r="I249" s="34">
        <f t="shared" si="98"/>
        <v>0</v>
      </c>
      <c r="J249" s="34">
        <f t="shared" si="98"/>
        <v>988000</v>
      </c>
      <c r="K249" s="34">
        <f t="shared" si="98"/>
        <v>104987</v>
      </c>
    </row>
    <row r="250" spans="1:11" x14ac:dyDescent="0.3">
      <c r="A250" s="325"/>
      <c r="B250" s="326"/>
      <c r="C250" s="33" t="s">
        <v>35</v>
      </c>
      <c r="D250" s="34">
        <f>D208+D168+D101+D66+D37</f>
        <v>610000</v>
      </c>
      <c r="E250" s="34">
        <f>E208+E168+E101+E66+E37</f>
        <v>610000</v>
      </c>
      <c r="F250" s="34">
        <f t="shared" ref="F250:K250" si="99">F208+F168+F101+F66+F37</f>
        <v>0</v>
      </c>
      <c r="G250" s="34">
        <f t="shared" si="99"/>
        <v>7000</v>
      </c>
      <c r="H250" s="34">
        <f t="shared" si="99"/>
        <v>0</v>
      </c>
      <c r="I250" s="34">
        <f t="shared" si="99"/>
        <v>0</v>
      </c>
      <c r="J250" s="34">
        <f t="shared" si="99"/>
        <v>617000</v>
      </c>
      <c r="K250" s="34">
        <f t="shared" si="99"/>
        <v>93140</v>
      </c>
    </row>
    <row r="251" spans="1:11" x14ac:dyDescent="0.3">
      <c r="A251" s="325"/>
      <c r="B251" s="326"/>
      <c r="C251" s="33" t="s">
        <v>36</v>
      </c>
      <c r="D251" s="34">
        <f>D102+D67+D38</f>
        <v>1739080</v>
      </c>
      <c r="E251" s="34">
        <f>E102+E67+E38</f>
        <v>1739080</v>
      </c>
      <c r="F251" s="34">
        <f t="shared" ref="F251:K251" si="100">F102+F67+F38</f>
        <v>0</v>
      </c>
      <c r="G251" s="34">
        <f t="shared" si="100"/>
        <v>0</v>
      </c>
      <c r="H251" s="34">
        <f t="shared" si="100"/>
        <v>0</v>
      </c>
      <c r="I251" s="34">
        <f t="shared" si="100"/>
        <v>0</v>
      </c>
      <c r="J251" s="34">
        <f t="shared" si="100"/>
        <v>1739080</v>
      </c>
      <c r="K251" s="34">
        <f t="shared" si="100"/>
        <v>921169</v>
      </c>
    </row>
    <row r="252" spans="1:11" x14ac:dyDescent="0.3">
      <c r="A252" s="325"/>
      <c r="B252" s="326"/>
      <c r="C252" s="38" t="s">
        <v>37</v>
      </c>
      <c r="D252" s="34">
        <f>D185+D68+D39</f>
        <v>356000</v>
      </c>
      <c r="E252" s="34">
        <f>E185+E68+E39</f>
        <v>356000</v>
      </c>
      <c r="F252" s="34">
        <f t="shared" ref="F252:J252" si="101">F185+F68+F39</f>
        <v>0</v>
      </c>
      <c r="G252" s="34">
        <f t="shared" si="101"/>
        <v>0</v>
      </c>
      <c r="H252" s="34">
        <f t="shared" si="101"/>
        <v>0</v>
      </c>
      <c r="I252" s="34">
        <f t="shared" si="101"/>
        <v>0</v>
      </c>
      <c r="J252" s="34">
        <f t="shared" si="101"/>
        <v>356000</v>
      </c>
      <c r="K252" s="34">
        <f>K185+K68+K39</f>
        <v>0</v>
      </c>
    </row>
    <row r="253" spans="1:11" x14ac:dyDescent="0.3">
      <c r="A253" s="325"/>
      <c r="B253" s="326"/>
      <c r="C253" s="33" t="s">
        <v>38</v>
      </c>
      <c r="D253" s="34">
        <f>D169+D148+D125+D103+D69+D40+D209</f>
        <v>1394000</v>
      </c>
      <c r="E253" s="34">
        <f>E169+E148+E125+E103+E69+E40+E209</f>
        <v>1394000</v>
      </c>
      <c r="F253" s="34">
        <f t="shared" ref="F253:K253" si="102">F169+F148+F125+F103+F69+F40+F209</f>
        <v>0</v>
      </c>
      <c r="G253" s="34">
        <f t="shared" si="102"/>
        <v>0</v>
      </c>
      <c r="H253" s="34">
        <f t="shared" si="102"/>
        <v>0</v>
      </c>
      <c r="I253" s="34">
        <f t="shared" si="102"/>
        <v>0</v>
      </c>
      <c r="J253" s="34">
        <f t="shared" si="102"/>
        <v>1394000</v>
      </c>
      <c r="K253" s="34">
        <f t="shared" si="102"/>
        <v>207584</v>
      </c>
    </row>
    <row r="254" spans="1:11" x14ac:dyDescent="0.3">
      <c r="A254" s="325"/>
      <c r="B254" s="326"/>
      <c r="C254" s="33" t="s">
        <v>39</v>
      </c>
      <c r="D254" s="34">
        <f>D41</f>
        <v>13200</v>
      </c>
      <c r="E254" s="34">
        <f>E41</f>
        <v>11540</v>
      </c>
      <c r="F254" s="34">
        <f t="shared" ref="F254:K254" si="103">F41</f>
        <v>0</v>
      </c>
      <c r="G254" s="34">
        <f t="shared" si="103"/>
        <v>5000</v>
      </c>
      <c r="H254" s="34">
        <f t="shared" si="103"/>
        <v>0</v>
      </c>
      <c r="I254" s="34">
        <f t="shared" si="103"/>
        <v>0</v>
      </c>
      <c r="J254" s="34">
        <f t="shared" si="103"/>
        <v>16540</v>
      </c>
      <c r="K254" s="34">
        <f t="shared" si="103"/>
        <v>5379</v>
      </c>
    </row>
    <row r="255" spans="1:11" x14ac:dyDescent="0.3">
      <c r="A255" s="325"/>
      <c r="B255" s="326"/>
      <c r="C255" s="36" t="s">
        <v>40</v>
      </c>
      <c r="D255" s="34">
        <f t="shared" ref="D255:K256" si="104">D186+D170+D149+D126+D104+D70+D42</f>
        <v>16415104</v>
      </c>
      <c r="E255" s="34">
        <f t="shared" si="104"/>
        <v>16415104</v>
      </c>
      <c r="F255" s="34">
        <f t="shared" si="104"/>
        <v>0</v>
      </c>
      <c r="G255" s="34">
        <f t="shared" si="104"/>
        <v>0</v>
      </c>
      <c r="H255" s="34">
        <f t="shared" si="104"/>
        <v>0</v>
      </c>
      <c r="I255" s="34">
        <f t="shared" si="104"/>
        <v>0</v>
      </c>
      <c r="J255" s="34">
        <f t="shared" si="104"/>
        <v>16415104</v>
      </c>
      <c r="K255" s="34">
        <f t="shared" si="104"/>
        <v>311518</v>
      </c>
    </row>
    <row r="256" spans="1:11" x14ac:dyDescent="0.3">
      <c r="A256" s="325"/>
      <c r="B256" s="326"/>
      <c r="C256" s="33" t="s">
        <v>41</v>
      </c>
      <c r="D256" s="34">
        <f t="shared" si="104"/>
        <v>26876743</v>
      </c>
      <c r="E256" s="34">
        <f t="shared" si="104"/>
        <v>26926403</v>
      </c>
      <c r="F256" s="34">
        <f t="shared" si="104"/>
        <v>-18767717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34">
        <f t="shared" si="104"/>
        <v>8158686</v>
      </c>
      <c r="K256" s="34">
        <f t="shared" si="104"/>
        <v>6024163</v>
      </c>
    </row>
    <row r="257" spans="1:11" x14ac:dyDescent="0.3">
      <c r="A257" s="325"/>
      <c r="B257" s="326"/>
      <c r="C257" s="35" t="s">
        <v>42</v>
      </c>
      <c r="D257" s="34">
        <f>D210+D188+D172+D151+D128+D106+D72+D44</f>
        <v>2852000</v>
      </c>
      <c r="E257" s="34">
        <f>E210+E188+E172+E151+E128+E106+E72+E44</f>
        <v>2852000</v>
      </c>
      <c r="F257" s="34">
        <f t="shared" ref="F257:K257" si="105">F210+F188+F172+F151+F128+F106+F72+F44</f>
        <v>0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34">
        <f t="shared" si="105"/>
        <v>2852000</v>
      </c>
      <c r="K257" s="34">
        <f t="shared" si="105"/>
        <v>692170</v>
      </c>
    </row>
    <row r="258" spans="1:11" x14ac:dyDescent="0.3">
      <c r="A258" s="325"/>
      <c r="B258" s="326"/>
      <c r="C258" s="35" t="s">
        <v>43</v>
      </c>
      <c r="D258" s="34">
        <f>D45+D73+D189</f>
        <v>290000</v>
      </c>
      <c r="E258" s="34">
        <f>E45+E73+E189</f>
        <v>290000</v>
      </c>
      <c r="F258" s="34">
        <f t="shared" ref="F258:K258" si="106">F45+F73+F189</f>
        <v>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290000</v>
      </c>
      <c r="K258" s="34">
        <f t="shared" si="106"/>
        <v>0</v>
      </c>
    </row>
    <row r="259" spans="1:11" x14ac:dyDescent="0.3">
      <c r="A259" s="325"/>
      <c r="B259" s="326"/>
      <c r="C259" s="33" t="s">
        <v>44</v>
      </c>
      <c r="D259" s="34">
        <f>D211+D190+D173+D152+D129+D107+D74+D46</f>
        <v>7754652</v>
      </c>
      <c r="E259" s="34">
        <f>E211+E190+E173+E152+E129+E107+E74+E46</f>
        <v>7754652</v>
      </c>
      <c r="F259" s="34">
        <f t="shared" ref="F259:K259" si="107">F211+F190+F173+F152+F129+F107+F74+F46</f>
        <v>-2419211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5335441</v>
      </c>
      <c r="K259" s="34">
        <f t="shared" si="107"/>
        <v>1732052</v>
      </c>
    </row>
    <row r="260" spans="1:11" x14ac:dyDescent="0.3">
      <c r="A260" s="325"/>
      <c r="B260" s="326"/>
      <c r="C260" s="37" t="s">
        <v>45</v>
      </c>
      <c r="D260" s="34">
        <f>D212+D191+D75+D47</f>
        <v>743011</v>
      </c>
      <c r="E260" s="34">
        <f>E212+E191+E75+E47</f>
        <v>743011</v>
      </c>
      <c r="F260" s="34">
        <f t="shared" ref="F260:K260" si="108">F212+F191+F75+F47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743011</v>
      </c>
      <c r="K260" s="34">
        <f t="shared" si="108"/>
        <v>216999</v>
      </c>
    </row>
    <row r="261" spans="1:11" x14ac:dyDescent="0.3">
      <c r="A261" s="325"/>
      <c r="B261" s="326"/>
      <c r="C261" s="63" t="s">
        <v>49</v>
      </c>
      <c r="D261" s="64">
        <f>D213+D192+D174+D153+D130+D108+D76+D48</f>
        <v>62319790</v>
      </c>
      <c r="E261" s="64">
        <f>E213+E192+E174+E153+E130+E108+E76+E48</f>
        <v>62349950</v>
      </c>
      <c r="F261" s="64">
        <f t="shared" ref="F261:K261" si="109">F213+F192+F174+F153+F130+F108+F76+F48</f>
        <v>-21000000</v>
      </c>
      <c r="G261" s="64">
        <f t="shared" si="109"/>
        <v>12000</v>
      </c>
      <c r="H261" s="64">
        <f t="shared" si="109"/>
        <v>0</v>
      </c>
      <c r="I261" s="64">
        <f t="shared" si="109"/>
        <v>0</v>
      </c>
      <c r="J261" s="64">
        <f t="shared" si="109"/>
        <v>41331790</v>
      </c>
      <c r="K261" s="64">
        <f t="shared" si="109"/>
        <v>10375773</v>
      </c>
    </row>
    <row r="262" spans="1:11" x14ac:dyDescent="0.3">
      <c r="A262" s="325"/>
      <c r="B262" s="326"/>
      <c r="C262" s="63" t="s">
        <v>100</v>
      </c>
      <c r="D262" s="64">
        <f>D197</f>
        <v>0</v>
      </c>
      <c r="E262" s="64">
        <f t="shared" ref="E262:K262" si="110">E197</f>
        <v>0</v>
      </c>
      <c r="F262" s="64">
        <f t="shared" si="110"/>
        <v>10500000</v>
      </c>
      <c r="G262" s="64">
        <f t="shared" si="110"/>
        <v>0</v>
      </c>
      <c r="H262" s="64">
        <f t="shared" si="110"/>
        <v>0</v>
      </c>
      <c r="I262" s="64">
        <f t="shared" si="110"/>
        <v>0</v>
      </c>
      <c r="J262" s="64">
        <f t="shared" si="110"/>
        <v>10500000</v>
      </c>
      <c r="K262" s="64">
        <f t="shared" si="110"/>
        <v>10500000</v>
      </c>
    </row>
    <row r="263" spans="1:11" x14ac:dyDescent="0.3">
      <c r="A263" s="325"/>
      <c r="B263" s="326"/>
      <c r="C263" s="38" t="s">
        <v>50</v>
      </c>
      <c r="D263" s="34">
        <f t="shared" ref="D263:K265" si="111">D194+D77+D49</f>
        <v>161220</v>
      </c>
      <c r="E263" s="34">
        <f t="shared" si="111"/>
        <v>161220</v>
      </c>
      <c r="F263" s="34">
        <f t="shared" si="111"/>
        <v>0</v>
      </c>
      <c r="G263" s="34">
        <f t="shared" si="111"/>
        <v>0</v>
      </c>
      <c r="H263" s="34">
        <f t="shared" si="111"/>
        <v>0</v>
      </c>
      <c r="I263" s="34">
        <f t="shared" si="111"/>
        <v>0</v>
      </c>
      <c r="J263" s="34">
        <f t="shared" si="111"/>
        <v>161220</v>
      </c>
      <c r="K263" s="34">
        <f t="shared" si="111"/>
        <v>0</v>
      </c>
    </row>
    <row r="264" spans="1:11" x14ac:dyDescent="0.3">
      <c r="A264" s="325"/>
      <c r="B264" s="326"/>
      <c r="C264" s="37" t="s">
        <v>51</v>
      </c>
      <c r="D264" s="34">
        <f t="shared" si="111"/>
        <v>43530</v>
      </c>
      <c r="E264" s="34">
        <f t="shared" si="111"/>
        <v>43530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43530</v>
      </c>
      <c r="K264" s="34">
        <f t="shared" si="111"/>
        <v>0</v>
      </c>
    </row>
    <row r="265" spans="1:11" x14ac:dyDescent="0.3">
      <c r="A265" s="325"/>
      <c r="B265" s="326"/>
      <c r="C265" s="63" t="s">
        <v>52</v>
      </c>
      <c r="D265" s="66">
        <f t="shared" si="111"/>
        <v>204750</v>
      </c>
      <c r="E265" s="66">
        <f t="shared" si="111"/>
        <v>204750</v>
      </c>
      <c r="F265" s="66">
        <f t="shared" si="111"/>
        <v>0</v>
      </c>
      <c r="G265" s="66">
        <f t="shared" si="111"/>
        <v>0</v>
      </c>
      <c r="H265" s="66">
        <f t="shared" si="111"/>
        <v>0</v>
      </c>
      <c r="I265" s="66">
        <f t="shared" si="111"/>
        <v>0</v>
      </c>
      <c r="J265" s="66">
        <f t="shared" si="111"/>
        <v>204750</v>
      </c>
      <c r="K265" s="64">
        <f t="shared" si="111"/>
        <v>0</v>
      </c>
    </row>
    <row r="266" spans="1:11" x14ac:dyDescent="0.3">
      <c r="A266" s="327"/>
      <c r="B266" s="328"/>
      <c r="C266" s="67" t="s">
        <v>88</v>
      </c>
      <c r="D266" s="68">
        <f t="shared" ref="D266:E266" si="112">D265+D261+D246+D245+D262</f>
        <v>230443641</v>
      </c>
      <c r="E266" s="68">
        <f t="shared" si="112"/>
        <v>230473801</v>
      </c>
      <c r="F266" s="68">
        <f>F265+F261+F246+F245+F262</f>
        <v>0</v>
      </c>
      <c r="G266" s="68">
        <f t="shared" ref="G266:K266" si="113">G265+G261+G246+G245+G262</f>
        <v>12000</v>
      </c>
      <c r="H266" s="68">
        <f t="shared" si="113"/>
        <v>66208</v>
      </c>
      <c r="I266" s="68">
        <f t="shared" si="113"/>
        <v>0</v>
      </c>
      <c r="J266" s="68">
        <f t="shared" si="113"/>
        <v>230521849</v>
      </c>
      <c r="K266" s="117">
        <f t="shared" si="113"/>
        <v>81431680</v>
      </c>
    </row>
    <row r="267" spans="1:11" x14ac:dyDescent="0.3">
      <c r="B267" s="5"/>
      <c r="E267" s="4"/>
      <c r="F267" s="4"/>
      <c r="G267" s="4"/>
      <c r="H267" s="4"/>
      <c r="I267" s="4"/>
      <c r="J267" s="4"/>
      <c r="K267" s="107"/>
    </row>
    <row r="268" spans="1:11" x14ac:dyDescent="0.3">
      <c r="B268" s="5"/>
      <c r="E268" s="4"/>
      <c r="F268" s="4"/>
      <c r="G268" s="4"/>
      <c r="H268" s="4"/>
      <c r="I268" s="4"/>
      <c r="J268" s="4"/>
      <c r="K268" s="107"/>
    </row>
  </sheetData>
  <mergeCells count="74">
    <mergeCell ref="A225:B266"/>
    <mergeCell ref="A224:K224"/>
    <mergeCell ref="A214:A215"/>
    <mergeCell ref="B214:B215"/>
    <mergeCell ref="A216:C216"/>
    <mergeCell ref="A217:C217"/>
    <mergeCell ref="A179:C179"/>
    <mergeCell ref="A180:A197"/>
    <mergeCell ref="B180:B197"/>
    <mergeCell ref="A198:C198"/>
    <mergeCell ref="A199:A213"/>
    <mergeCell ref="B199:B213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0866141732283472" right="0.70866141732283472" top="0.74803149606299213" bottom="0.74803149606299213" header="0.31496062992125984" footer="0.31496062992125984"/>
  <pageSetup paperSize="8" scale="65" orientation="portrait" r:id="rId1"/>
  <rowBreaks count="2" manualBreakCount="2">
    <brk id="88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8"/>
  <sheetViews>
    <sheetView workbookViewId="0">
      <selection activeCell="D8" sqref="D8"/>
    </sheetView>
  </sheetViews>
  <sheetFormatPr defaultRowHeight="14.4" x14ac:dyDescent="0.3"/>
  <cols>
    <col min="1" max="1" width="49.109375" customWidth="1"/>
    <col min="2" max="2" width="10.44140625" customWidth="1"/>
    <col min="3" max="3" width="9.109375" customWidth="1"/>
    <col min="4" max="4" width="15.33203125" customWidth="1"/>
    <col min="5" max="8" width="13.33203125" customWidth="1"/>
    <col min="9" max="9" width="14.6640625" customWidth="1"/>
    <col min="10" max="10" width="13.6640625" customWidth="1"/>
  </cols>
  <sheetData>
    <row r="1" spans="1:10" ht="21" x14ac:dyDescent="0.3">
      <c r="A1" s="329" t="s">
        <v>0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 x14ac:dyDescent="0.3">
      <c r="B2" s="5"/>
      <c r="E2" s="4"/>
      <c r="F2" s="4"/>
      <c r="G2" s="4"/>
      <c r="H2" s="4"/>
      <c r="I2" s="4"/>
    </row>
    <row r="3" spans="1:10" ht="15" customHeight="1" x14ac:dyDescent="0.3">
      <c r="A3" s="331" t="s">
        <v>1</v>
      </c>
      <c r="B3" s="333" t="s">
        <v>2</v>
      </c>
      <c r="C3" s="331" t="s">
        <v>3</v>
      </c>
      <c r="D3" s="331" t="s">
        <v>4</v>
      </c>
      <c r="E3" s="335" t="s">
        <v>97</v>
      </c>
      <c r="F3" s="336"/>
      <c r="G3" s="336"/>
      <c r="H3" s="337"/>
      <c r="I3" s="330" t="s">
        <v>96</v>
      </c>
      <c r="J3" s="330" t="s">
        <v>99</v>
      </c>
    </row>
    <row r="4" spans="1:10" ht="27" customHeight="1" x14ac:dyDescent="0.3">
      <c r="A4" s="332"/>
      <c r="B4" s="334"/>
      <c r="C4" s="332"/>
      <c r="D4" s="332"/>
      <c r="E4" s="89" t="s">
        <v>70</v>
      </c>
      <c r="F4" s="102" t="s">
        <v>102</v>
      </c>
      <c r="G4" s="103" t="s">
        <v>101</v>
      </c>
      <c r="H4" s="89" t="s">
        <v>71</v>
      </c>
      <c r="I4" s="330"/>
      <c r="J4" s="330"/>
    </row>
    <row r="5" spans="1:10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f>I5-D5-F5-G5-H5</f>
        <v>0</v>
      </c>
      <c r="F5" s="3">
        <f>'2019.05.31.'!G5</f>
        <v>0</v>
      </c>
      <c r="G5" s="3">
        <f>'2019.05.31.'!H5</f>
        <v>38009</v>
      </c>
      <c r="H5" s="3">
        <f>'2019.05.31.'!I5</f>
        <v>0</v>
      </c>
      <c r="I5" s="3">
        <f>'2019.05.31.'!J5</f>
        <v>54848819</v>
      </c>
      <c r="J5" s="3">
        <f>'2019.05.31.'!K5</f>
        <v>18320271</v>
      </c>
    </row>
    <row r="6" spans="1:10" x14ac:dyDescent="0.3">
      <c r="A6" s="285"/>
      <c r="B6" s="261"/>
      <c r="C6" s="2" t="s">
        <v>17</v>
      </c>
      <c r="D6" s="3">
        <v>7273070</v>
      </c>
      <c r="E6" s="3">
        <f t="shared" ref="E6:E23" si="0">I6-D6-F6-G6-H6</f>
        <v>0</v>
      </c>
      <c r="F6" s="3">
        <f>'2019.05.31.'!G6</f>
        <v>0</v>
      </c>
      <c r="G6" s="3">
        <f>'2019.05.31.'!H6</f>
        <v>0</v>
      </c>
      <c r="H6" s="3">
        <f>'2019.05.31.'!I6</f>
        <v>0</v>
      </c>
      <c r="I6" s="3">
        <f>'2019.05.31.'!J6</f>
        <v>7273070</v>
      </c>
      <c r="J6" s="3">
        <f>'2019.05.31.'!K6</f>
        <v>7273070</v>
      </c>
    </row>
    <row r="7" spans="1:10" x14ac:dyDescent="0.3">
      <c r="A7" s="285"/>
      <c r="B7" s="261"/>
      <c r="C7" s="2" t="s">
        <v>18</v>
      </c>
      <c r="D7" s="3">
        <v>96985672</v>
      </c>
      <c r="E7" s="3">
        <f t="shared" si="0"/>
        <v>0</v>
      </c>
      <c r="F7" s="3">
        <f>'2019.05.31.'!G7</f>
        <v>0</v>
      </c>
      <c r="G7" s="3">
        <f>'2019.05.31.'!H7</f>
        <v>0</v>
      </c>
      <c r="H7" s="3">
        <f>'2019.05.31.'!I7</f>
        <v>0</v>
      </c>
      <c r="I7" s="3">
        <f>'2019.05.31.'!J7</f>
        <v>96985672</v>
      </c>
      <c r="J7" s="3">
        <f>'2019.05.31.'!K7</f>
        <v>41271953</v>
      </c>
    </row>
    <row r="8" spans="1:10" x14ac:dyDescent="0.3">
      <c r="A8" s="285"/>
      <c r="B8" s="264">
        <v>104042</v>
      </c>
      <c r="C8" s="2" t="s">
        <v>22</v>
      </c>
      <c r="D8" s="3">
        <v>200000</v>
      </c>
      <c r="E8" s="3">
        <f t="shared" si="0"/>
        <v>0</v>
      </c>
      <c r="F8" s="3">
        <f>'2019.05.31.'!G8</f>
        <v>0</v>
      </c>
      <c r="G8" s="3">
        <f>'2019.05.31.'!H8</f>
        <v>0</v>
      </c>
      <c r="H8" s="3">
        <f>'2019.05.31.'!I8</f>
        <v>0</v>
      </c>
      <c r="I8" s="3">
        <f>'2019.05.31.'!J8</f>
        <v>200000</v>
      </c>
      <c r="J8" s="3">
        <f>'2019.05.31.'!K8</f>
        <v>0</v>
      </c>
    </row>
    <row r="9" spans="1:10" x14ac:dyDescent="0.3">
      <c r="A9" s="285"/>
      <c r="B9" s="268"/>
      <c r="C9" s="2" t="s">
        <v>19</v>
      </c>
      <c r="D9" s="3">
        <v>13200</v>
      </c>
      <c r="E9" s="3">
        <f t="shared" si="0"/>
        <v>-1660</v>
      </c>
      <c r="F9" s="3">
        <f>'2019.05.31.'!G9</f>
        <v>5000</v>
      </c>
      <c r="G9" s="3">
        <f>'2019.05.31.'!H9</f>
        <v>0</v>
      </c>
      <c r="H9" s="3">
        <f>'2019.05.31.'!I9</f>
        <v>0</v>
      </c>
      <c r="I9" s="3">
        <f>'2019.05.31.'!J9</f>
        <v>16540</v>
      </c>
      <c r="J9" s="3">
        <f>'2019.05.31.'!K9</f>
        <v>5379</v>
      </c>
    </row>
    <row r="10" spans="1:10" x14ac:dyDescent="0.3">
      <c r="A10" s="285"/>
      <c r="B10" s="268"/>
      <c r="C10" s="2" t="s">
        <v>20</v>
      </c>
      <c r="D10" s="3">
        <v>500</v>
      </c>
      <c r="E10" s="3">
        <f t="shared" si="0"/>
        <v>-289</v>
      </c>
      <c r="F10" s="3">
        <f>'2019.05.31.'!G10</f>
        <v>0</v>
      </c>
      <c r="G10" s="3">
        <f>'2019.05.31.'!H10</f>
        <v>0</v>
      </c>
      <c r="H10" s="3">
        <f>'2019.05.31.'!I10</f>
        <v>0</v>
      </c>
      <c r="I10" s="3">
        <f>'2019.05.31.'!J10</f>
        <v>211</v>
      </c>
      <c r="J10" s="3">
        <f>'2019.05.31.'!K10</f>
        <v>87</v>
      </c>
    </row>
    <row r="11" spans="1:10" x14ac:dyDescent="0.3">
      <c r="A11" s="285"/>
      <c r="B11" s="265"/>
      <c r="C11" s="2" t="s">
        <v>84</v>
      </c>
      <c r="D11" s="3">
        <v>0</v>
      </c>
      <c r="E11" s="3">
        <f t="shared" si="0"/>
        <v>2238</v>
      </c>
      <c r="F11" s="3">
        <f>'2019.05.31.'!G11</f>
        <v>7000</v>
      </c>
      <c r="G11" s="3">
        <f>'2019.05.31.'!H11</f>
        <v>0</v>
      </c>
      <c r="H11" s="3">
        <f>'2019.05.31.'!I11</f>
        <v>0</v>
      </c>
      <c r="I11" s="3">
        <f>'2019.05.31.'!J11</f>
        <v>9238</v>
      </c>
      <c r="J11" s="3">
        <f>'2019.05.31.'!K11</f>
        <v>3234</v>
      </c>
    </row>
    <row r="12" spans="1:10" x14ac:dyDescent="0.3">
      <c r="A12" s="285"/>
      <c r="B12" s="264">
        <v>104043</v>
      </c>
      <c r="C12" s="2" t="s">
        <v>20</v>
      </c>
      <c r="D12" s="3">
        <v>500</v>
      </c>
      <c r="E12" s="3">
        <f t="shared" si="0"/>
        <v>-290</v>
      </c>
      <c r="F12" s="3">
        <f>'2019.05.31.'!G12</f>
        <v>0</v>
      </c>
      <c r="G12" s="3">
        <f>'2019.05.31.'!H12</f>
        <v>0</v>
      </c>
      <c r="H12" s="3">
        <f>'2019.05.31.'!I12</f>
        <v>0</v>
      </c>
      <c r="I12" s="3">
        <f>'2019.05.31.'!J12</f>
        <v>210</v>
      </c>
      <c r="J12" s="3">
        <f>'2019.05.31.'!K12</f>
        <v>86</v>
      </c>
    </row>
    <row r="13" spans="1:10" x14ac:dyDescent="0.3">
      <c r="A13" s="263"/>
      <c r="B13" s="265"/>
      <c r="C13" s="2" t="s">
        <v>84</v>
      </c>
      <c r="D13" s="3">
        <v>0</v>
      </c>
      <c r="E13" s="3">
        <f t="shared" si="0"/>
        <v>1</v>
      </c>
      <c r="F13" s="3">
        <f>'2019.05.31.'!G13</f>
        <v>0</v>
      </c>
      <c r="G13" s="3">
        <f>'2019.05.31.'!H13</f>
        <v>0</v>
      </c>
      <c r="H13" s="3">
        <f>'2019.05.31.'!I13</f>
        <v>0</v>
      </c>
      <c r="I13" s="3">
        <f>'2019.05.31.'!J13</f>
        <v>1</v>
      </c>
      <c r="J13" s="3">
        <f>'2019.05.31.'!K13</f>
        <v>1</v>
      </c>
    </row>
    <row r="14" spans="1:10" x14ac:dyDescent="0.3">
      <c r="A14" s="254" t="s">
        <v>7</v>
      </c>
      <c r="B14" s="261" t="s">
        <v>21</v>
      </c>
      <c r="C14" s="2" t="s">
        <v>16</v>
      </c>
      <c r="D14" s="3">
        <v>245982</v>
      </c>
      <c r="E14" s="3">
        <f t="shared" si="0"/>
        <v>0</v>
      </c>
      <c r="F14" s="3">
        <f>'2019.05.31.'!G14</f>
        <v>0</v>
      </c>
      <c r="G14" s="3">
        <f>'2019.05.31.'!H14</f>
        <v>0</v>
      </c>
      <c r="H14" s="3">
        <f>'2019.05.31.'!I14</f>
        <v>0</v>
      </c>
      <c r="I14" s="3">
        <f>'2019.05.31.'!J14</f>
        <v>245982</v>
      </c>
      <c r="J14" s="3">
        <f>'2019.05.31.'!K14</f>
        <v>74405</v>
      </c>
    </row>
    <row r="15" spans="1:10" x14ac:dyDescent="0.3">
      <c r="A15" s="254"/>
      <c r="B15" s="261"/>
      <c r="C15" s="2" t="s">
        <v>17</v>
      </c>
      <c r="D15" s="3">
        <v>1005557</v>
      </c>
      <c r="E15" s="3">
        <f t="shared" si="0"/>
        <v>0</v>
      </c>
      <c r="F15" s="3">
        <f>'2019.05.31.'!G15</f>
        <v>0</v>
      </c>
      <c r="G15" s="3">
        <f>'2019.05.31.'!H15</f>
        <v>0</v>
      </c>
      <c r="H15" s="3">
        <f>'2019.05.31.'!I15</f>
        <v>0</v>
      </c>
      <c r="I15" s="3">
        <f>'2019.05.31.'!J15</f>
        <v>1005557</v>
      </c>
      <c r="J15" s="3">
        <f>'2019.05.31.'!K15</f>
        <v>1005557</v>
      </c>
    </row>
    <row r="16" spans="1:10" x14ac:dyDescent="0.3">
      <c r="A16" s="254" t="s">
        <v>8</v>
      </c>
      <c r="B16" s="261" t="s">
        <v>21</v>
      </c>
      <c r="C16" s="2" t="s">
        <v>16</v>
      </c>
      <c r="D16" s="3">
        <v>3086953</v>
      </c>
      <c r="E16" s="3">
        <f t="shared" si="0"/>
        <v>0</v>
      </c>
      <c r="F16" s="3">
        <f>'2019.05.31.'!G16</f>
        <v>0</v>
      </c>
      <c r="G16" s="3">
        <f>'2019.05.31.'!H16</f>
        <v>16751</v>
      </c>
      <c r="H16" s="3">
        <f>'2019.05.31.'!I16</f>
        <v>0</v>
      </c>
      <c r="I16" s="3">
        <f>'2019.05.31.'!J16</f>
        <v>3103704</v>
      </c>
      <c r="J16" s="3">
        <f>'2019.05.31.'!K16</f>
        <v>771738</v>
      </c>
    </row>
    <row r="17" spans="1:10" x14ac:dyDescent="0.3">
      <c r="A17" s="254"/>
      <c r="B17" s="261"/>
      <c r="C17" s="2" t="s">
        <v>17</v>
      </c>
      <c r="D17" s="3">
        <v>440959</v>
      </c>
      <c r="E17" s="3">
        <f t="shared" si="0"/>
        <v>0</v>
      </c>
      <c r="F17" s="3">
        <f>'2019.05.31.'!G17</f>
        <v>0</v>
      </c>
      <c r="G17" s="3">
        <f>'2019.05.31.'!H17</f>
        <v>0</v>
      </c>
      <c r="H17" s="3">
        <f>'2019.05.31.'!I17</f>
        <v>0</v>
      </c>
      <c r="I17" s="3">
        <f>'2019.05.31.'!J17</f>
        <v>440959</v>
      </c>
      <c r="J17" s="3">
        <f>'2019.05.31.'!K17</f>
        <v>440959</v>
      </c>
    </row>
    <row r="18" spans="1:10" x14ac:dyDescent="0.3">
      <c r="A18" s="254" t="s">
        <v>9</v>
      </c>
      <c r="B18" s="261" t="s">
        <v>21</v>
      </c>
      <c r="C18" s="2" t="s">
        <v>16</v>
      </c>
      <c r="D18" s="3">
        <v>1403439</v>
      </c>
      <c r="E18" s="3">
        <f t="shared" si="0"/>
        <v>0</v>
      </c>
      <c r="F18" s="3">
        <f>'2019.05.31.'!G18</f>
        <v>0</v>
      </c>
      <c r="G18" s="3">
        <f>'2019.05.31.'!H18</f>
        <v>11448</v>
      </c>
      <c r="H18" s="3">
        <f>'2019.05.31.'!I18</f>
        <v>0</v>
      </c>
      <c r="I18" s="3">
        <f>'2019.05.31.'!J18</f>
        <v>1414887</v>
      </c>
      <c r="J18" s="3">
        <f>'2019.05.31.'!K18</f>
        <v>362308</v>
      </c>
    </row>
    <row r="19" spans="1:10" x14ac:dyDescent="0.3">
      <c r="A19" s="254"/>
      <c r="B19" s="261"/>
      <c r="C19" s="2" t="s">
        <v>17</v>
      </c>
      <c r="D19" s="3">
        <v>599759</v>
      </c>
      <c r="E19" s="3">
        <f t="shared" si="0"/>
        <v>0</v>
      </c>
      <c r="F19" s="3">
        <f>'2019.05.31.'!G19</f>
        <v>0</v>
      </c>
      <c r="G19" s="3">
        <f>'2019.05.31.'!H19</f>
        <v>0</v>
      </c>
      <c r="H19" s="3">
        <f>'2019.05.31.'!I19</f>
        <v>0</v>
      </c>
      <c r="I19" s="3">
        <f>'2019.05.31.'!J19</f>
        <v>599759</v>
      </c>
      <c r="J19" s="3">
        <f>'2019.05.31.'!K19</f>
        <v>599759</v>
      </c>
    </row>
    <row r="20" spans="1:10" x14ac:dyDescent="0.3">
      <c r="A20" s="262" t="s">
        <v>54</v>
      </c>
      <c r="B20" s="264" t="s">
        <v>21</v>
      </c>
      <c r="C20" s="2" t="s">
        <v>16</v>
      </c>
      <c r="D20" s="3">
        <v>4056383</v>
      </c>
      <c r="E20" s="3">
        <f t="shared" si="0"/>
        <v>0</v>
      </c>
      <c r="F20" s="3">
        <f>'2019.05.31.'!G20</f>
        <v>0</v>
      </c>
      <c r="G20" s="3">
        <f>'2019.05.31.'!H20</f>
        <v>0</v>
      </c>
      <c r="H20" s="3">
        <f>'2019.05.31.'!I20</f>
        <v>0</v>
      </c>
      <c r="I20" s="3">
        <f>'2019.05.31.'!J20</f>
        <v>4056383</v>
      </c>
      <c r="J20" s="3">
        <f>'2019.05.31.'!K20</f>
        <v>1014096</v>
      </c>
    </row>
    <row r="21" spans="1:10" x14ac:dyDescent="0.3">
      <c r="A21" s="263"/>
      <c r="B21" s="265"/>
      <c r="C21" s="2" t="s">
        <v>17</v>
      </c>
      <c r="D21" s="3">
        <v>226299</v>
      </c>
      <c r="E21" s="3">
        <f t="shared" si="0"/>
        <v>0</v>
      </c>
      <c r="F21" s="3">
        <f>'2019.05.31.'!G21</f>
        <v>0</v>
      </c>
      <c r="G21" s="3">
        <f>'2019.05.31.'!H21</f>
        <v>0</v>
      </c>
      <c r="H21" s="3">
        <f>'2019.05.31.'!I21</f>
        <v>0</v>
      </c>
      <c r="I21" s="3">
        <f>'2019.05.31.'!J21</f>
        <v>226299</v>
      </c>
      <c r="J21" s="3">
        <f>'2019.05.31.'!K21</f>
        <v>226299</v>
      </c>
    </row>
    <row r="22" spans="1:10" x14ac:dyDescent="0.3">
      <c r="A22" s="254" t="s">
        <v>10</v>
      </c>
      <c r="B22" s="261" t="s">
        <v>21</v>
      </c>
      <c r="C22" s="2" t="s">
        <v>16</v>
      </c>
      <c r="D22" s="3">
        <v>53627392</v>
      </c>
      <c r="E22" s="3">
        <f t="shared" si="0"/>
        <v>0</v>
      </c>
      <c r="F22" s="3">
        <f>'2019.05.31.'!G22</f>
        <v>0</v>
      </c>
      <c r="G22" s="3">
        <f>'2019.05.31.'!H22</f>
        <v>0</v>
      </c>
      <c r="H22" s="3">
        <f>'2019.05.31.'!I22</f>
        <v>0</v>
      </c>
      <c r="I22" s="3">
        <f>'2019.05.31.'!J22</f>
        <v>53627392</v>
      </c>
      <c r="J22" s="3">
        <f>'2019.05.31.'!K22</f>
        <v>16810012</v>
      </c>
    </row>
    <row r="23" spans="1:10" x14ac:dyDescent="0.3">
      <c r="A23" s="254"/>
      <c r="B23" s="261"/>
      <c r="C23" s="2" t="s">
        <v>17</v>
      </c>
      <c r="D23" s="3">
        <v>6467166</v>
      </c>
      <c r="E23" s="3">
        <f t="shared" si="0"/>
        <v>0</v>
      </c>
      <c r="F23" s="3">
        <f>'2019.05.31.'!G23</f>
        <v>0</v>
      </c>
      <c r="G23" s="3">
        <f>'2019.05.31.'!H23</f>
        <v>0</v>
      </c>
      <c r="H23" s="3">
        <f>'2019.05.31.'!I23</f>
        <v>0</v>
      </c>
      <c r="I23" s="3">
        <f>'2019.05.31.'!J23</f>
        <v>6467166</v>
      </c>
      <c r="J23" s="3">
        <f>'2019.05.31.'!K23</f>
        <v>6467166</v>
      </c>
    </row>
    <row r="24" spans="1:10" ht="20.25" customHeight="1" x14ac:dyDescent="0.3">
      <c r="A24" s="338" t="s">
        <v>73</v>
      </c>
      <c r="B24" s="339"/>
      <c r="C24" s="340"/>
      <c r="D24" s="90">
        <f t="shared" ref="D24:I24" si="1">SUM(D5:D23)</f>
        <v>230443641</v>
      </c>
      <c r="E24" s="90">
        <f t="shared" si="1"/>
        <v>0</v>
      </c>
      <c r="F24" s="90">
        <f t="shared" si="1"/>
        <v>12000</v>
      </c>
      <c r="G24" s="90">
        <f t="shared" si="1"/>
        <v>66208</v>
      </c>
      <c r="H24" s="90">
        <f t="shared" si="1"/>
        <v>0</v>
      </c>
      <c r="I24" s="90">
        <f t="shared" si="1"/>
        <v>230521849</v>
      </c>
      <c r="J24" s="90">
        <f t="shared" ref="J24" si="2">SUM(J5:J23)</f>
        <v>94646380</v>
      </c>
    </row>
    <row r="25" spans="1:10" x14ac:dyDescent="0.3">
      <c r="A25" s="254" t="s">
        <v>11</v>
      </c>
      <c r="B25" s="264" t="s">
        <v>23</v>
      </c>
      <c r="C25" s="2" t="s">
        <v>24</v>
      </c>
      <c r="D25" s="3">
        <v>35883092</v>
      </c>
      <c r="E25" s="3">
        <f t="shared" ref="E25:E31" si="3">I25-D25-F25-G25-H25</f>
        <v>-178678</v>
      </c>
      <c r="F25" s="3">
        <f>'2019.05.31.'!G25</f>
        <v>0</v>
      </c>
      <c r="G25" s="3">
        <f>'2019.05.31.'!H25</f>
        <v>11870</v>
      </c>
      <c r="H25" s="3">
        <f>'2019.05.31.'!I25</f>
        <v>0</v>
      </c>
      <c r="I25" s="3">
        <f>'2019.05.31.'!J25</f>
        <v>35716284</v>
      </c>
      <c r="J25" s="3">
        <f>'2019.05.31.'!K25</f>
        <v>13037510</v>
      </c>
    </row>
    <row r="26" spans="1:10" x14ac:dyDescent="0.3">
      <c r="A26" s="254"/>
      <c r="B26" s="268"/>
      <c r="C26" s="2" t="s">
        <v>25</v>
      </c>
      <c r="D26" s="3">
        <v>1542000</v>
      </c>
      <c r="E26" s="3">
        <f t="shared" si="3"/>
        <v>0</v>
      </c>
      <c r="F26" s="3">
        <f>'2019.05.31.'!G26</f>
        <v>0</v>
      </c>
      <c r="G26" s="3">
        <f>'2019.05.31.'!H26</f>
        <v>0</v>
      </c>
      <c r="H26" s="3">
        <f>'2019.05.31.'!I26</f>
        <v>0</v>
      </c>
      <c r="I26" s="3">
        <f>'2019.05.31.'!J26</f>
        <v>1542000</v>
      </c>
      <c r="J26" s="3">
        <f>'2019.05.31.'!K26</f>
        <v>725000</v>
      </c>
    </row>
    <row r="27" spans="1:10" x14ac:dyDescent="0.3">
      <c r="A27" s="254"/>
      <c r="B27" s="268"/>
      <c r="C27" s="2" t="s">
        <v>26</v>
      </c>
      <c r="D27" s="3">
        <v>80000</v>
      </c>
      <c r="E27" s="3">
        <f t="shared" si="3"/>
        <v>0</v>
      </c>
      <c r="F27" s="3">
        <f>'2019.05.31.'!G27</f>
        <v>0</v>
      </c>
      <c r="G27" s="3">
        <f>'2019.05.31.'!H27</f>
        <v>0</v>
      </c>
      <c r="H27" s="3">
        <f>'2019.05.31.'!I27</f>
        <v>0</v>
      </c>
      <c r="I27" s="3">
        <f>'2019.05.31.'!J27</f>
        <v>80000</v>
      </c>
      <c r="J27" s="3">
        <f>'2019.05.31.'!K27</f>
        <v>0</v>
      </c>
    </row>
    <row r="28" spans="1:10" x14ac:dyDescent="0.3">
      <c r="A28" s="254"/>
      <c r="B28" s="268"/>
      <c r="C28" s="2" t="s">
        <v>27</v>
      </c>
      <c r="D28" s="3">
        <v>893400</v>
      </c>
      <c r="E28" s="3">
        <f t="shared" si="3"/>
        <v>0</v>
      </c>
      <c r="F28" s="3">
        <f>'2019.05.31.'!G28</f>
        <v>0</v>
      </c>
      <c r="G28" s="3">
        <f>'2019.05.31.'!H28</f>
        <v>0</v>
      </c>
      <c r="H28" s="3">
        <f>'2019.05.31.'!I28</f>
        <v>0</v>
      </c>
      <c r="I28" s="3">
        <f>'2019.05.31.'!J28</f>
        <v>893400</v>
      </c>
      <c r="J28" s="3">
        <f>'2019.05.31.'!K28</f>
        <v>260830</v>
      </c>
    </row>
    <row r="29" spans="1:10" x14ac:dyDescent="0.3">
      <c r="A29" s="254"/>
      <c r="B29" s="268"/>
      <c r="C29" s="2" t="s">
        <v>28</v>
      </c>
      <c r="D29" s="3">
        <v>190000</v>
      </c>
      <c r="E29" s="3">
        <f t="shared" si="3"/>
        <v>0</v>
      </c>
      <c r="F29" s="3">
        <f>'2019.05.31.'!G29</f>
        <v>0</v>
      </c>
      <c r="G29" s="3">
        <f>'2019.05.31.'!H29</f>
        <v>0</v>
      </c>
      <c r="H29" s="3">
        <f>'2019.05.31.'!I29</f>
        <v>0</v>
      </c>
      <c r="I29" s="3">
        <f>'2019.05.31.'!J29</f>
        <v>190000</v>
      </c>
      <c r="J29" s="3">
        <f>'2019.05.31.'!K29</f>
        <v>93000</v>
      </c>
    </row>
    <row r="30" spans="1:10" x14ac:dyDescent="0.3">
      <c r="A30" s="254"/>
      <c r="B30" s="268"/>
      <c r="C30" s="2" t="s">
        <v>29</v>
      </c>
      <c r="D30" s="3">
        <v>1086500</v>
      </c>
      <c r="E30" s="3">
        <f t="shared" si="3"/>
        <v>178678</v>
      </c>
      <c r="F30" s="3">
        <f>'2019.05.31.'!G30</f>
        <v>0</v>
      </c>
      <c r="G30" s="3">
        <f>'2019.05.31.'!H30</f>
        <v>0</v>
      </c>
      <c r="H30" s="3">
        <f>'2019.05.31.'!I30</f>
        <v>0</v>
      </c>
      <c r="I30" s="3">
        <f>'2019.05.31.'!J30</f>
        <v>1265178</v>
      </c>
      <c r="J30" s="3">
        <f>'2019.05.31.'!K30</f>
        <v>314491</v>
      </c>
    </row>
    <row r="31" spans="1:10" x14ac:dyDescent="0.3">
      <c r="A31" s="254"/>
      <c r="B31" s="268"/>
      <c r="C31" s="2" t="s">
        <v>30</v>
      </c>
      <c r="D31" s="3">
        <v>100000</v>
      </c>
      <c r="E31" s="3">
        <f t="shared" si="3"/>
        <v>0</v>
      </c>
      <c r="F31" s="3">
        <f>'2019.05.31.'!G31</f>
        <v>0</v>
      </c>
      <c r="G31" s="3">
        <f>'2019.05.31.'!H31</f>
        <v>0</v>
      </c>
      <c r="H31" s="3">
        <f>'2019.05.31.'!I31</f>
        <v>0</v>
      </c>
      <c r="I31" s="3">
        <f>'2019.05.31.'!J31</f>
        <v>100000</v>
      </c>
      <c r="J31" s="3">
        <f>'2019.05.31.'!K31</f>
        <v>1500</v>
      </c>
    </row>
    <row r="32" spans="1:10" x14ac:dyDescent="0.3">
      <c r="A32" s="254"/>
      <c r="B32" s="268"/>
      <c r="C32" s="6" t="s">
        <v>53</v>
      </c>
      <c r="D32" s="7">
        <f>SUM(D25:D31)</f>
        <v>39774992</v>
      </c>
      <c r="E32" s="7">
        <f t="shared" ref="E32:H32" si="4">SUM(E25:E31)</f>
        <v>0</v>
      </c>
      <c r="F32" s="7">
        <f t="shared" si="4"/>
        <v>0</v>
      </c>
      <c r="G32" s="7">
        <f t="shared" si="4"/>
        <v>11870</v>
      </c>
      <c r="H32" s="7">
        <f t="shared" si="4"/>
        <v>0</v>
      </c>
      <c r="I32" s="7">
        <f>SUM(I25:I31)</f>
        <v>39786862</v>
      </c>
      <c r="J32" s="7">
        <f>SUM(J25:J31)</f>
        <v>14432331</v>
      </c>
    </row>
    <row r="33" spans="1:10" x14ac:dyDescent="0.3">
      <c r="A33" s="254"/>
      <c r="B33" s="268"/>
      <c r="C33" s="96" t="s">
        <v>31</v>
      </c>
      <c r="D33" s="83">
        <v>7793417</v>
      </c>
      <c r="E33" s="85">
        <f t="shared" ref="E33:E47" si="5">I33-D33-F33-G33-H33</f>
        <v>0</v>
      </c>
      <c r="F33" s="83">
        <f>'2019.05.31.'!G33</f>
        <v>0</v>
      </c>
      <c r="G33" s="83">
        <f>'2019.05.31.'!H33</f>
        <v>2315</v>
      </c>
      <c r="H33" s="83">
        <f>'2019.05.31.'!I33</f>
        <v>0</v>
      </c>
      <c r="I33" s="85">
        <f>'2019.05.31.'!J33</f>
        <v>7795732</v>
      </c>
      <c r="J33" s="85">
        <f>'2019.05.31.'!K33</f>
        <v>2986891</v>
      </c>
    </row>
    <row r="34" spans="1:10" x14ac:dyDescent="0.3">
      <c r="A34" s="254"/>
      <c r="B34" s="268"/>
      <c r="C34" s="2" t="s">
        <v>32</v>
      </c>
      <c r="D34" s="3">
        <v>105000</v>
      </c>
      <c r="E34" s="3">
        <f t="shared" si="5"/>
        <v>0</v>
      </c>
      <c r="F34" s="3">
        <f>'2019.05.31.'!G34</f>
        <v>0</v>
      </c>
      <c r="G34" s="3">
        <f>'2019.05.31.'!H34</f>
        <v>0</v>
      </c>
      <c r="H34" s="3">
        <f>'2019.05.31.'!I34</f>
        <v>0</v>
      </c>
      <c r="I34" s="3">
        <f>'2019.05.31.'!J34</f>
        <v>105000</v>
      </c>
      <c r="J34" s="3">
        <f>'2019.05.31.'!K34</f>
        <v>17779</v>
      </c>
    </row>
    <row r="35" spans="1:10" x14ac:dyDescent="0.3">
      <c r="A35" s="254"/>
      <c r="B35" s="268"/>
      <c r="C35" s="2" t="s">
        <v>33</v>
      </c>
      <c r="D35" s="3">
        <v>500000</v>
      </c>
      <c r="E35" s="3">
        <f t="shared" si="5"/>
        <v>0</v>
      </c>
      <c r="F35" s="3">
        <f>'2019.05.31.'!G35</f>
        <v>0</v>
      </c>
      <c r="G35" s="3">
        <f>'2019.05.31.'!H35</f>
        <v>0</v>
      </c>
      <c r="H35" s="3">
        <f>'2019.05.31.'!I35</f>
        <v>0</v>
      </c>
      <c r="I35" s="3">
        <f>'2019.05.31.'!J35</f>
        <v>500000</v>
      </c>
      <c r="J35" s="3">
        <f>'2019.05.31.'!K35</f>
        <v>0</v>
      </c>
    </row>
    <row r="36" spans="1:10" x14ac:dyDescent="0.3">
      <c r="A36" s="254"/>
      <c r="B36" s="268"/>
      <c r="C36" s="2" t="s">
        <v>34</v>
      </c>
      <c r="D36" s="3">
        <v>213000</v>
      </c>
      <c r="E36" s="3">
        <f t="shared" si="5"/>
        <v>0</v>
      </c>
      <c r="F36" s="3">
        <f>'2019.05.31.'!G36</f>
        <v>0</v>
      </c>
      <c r="G36" s="3">
        <f>'2019.05.31.'!H36</f>
        <v>0</v>
      </c>
      <c r="H36" s="3">
        <f>'2019.05.31.'!I36</f>
        <v>0</v>
      </c>
      <c r="I36" s="3">
        <f>'2019.05.31.'!J36</f>
        <v>213000</v>
      </c>
      <c r="J36" s="3">
        <f>'2019.05.31.'!K36</f>
        <v>52493</v>
      </c>
    </row>
    <row r="37" spans="1:10" x14ac:dyDescent="0.3">
      <c r="A37" s="254"/>
      <c r="B37" s="268"/>
      <c r="C37" s="2" t="s">
        <v>35</v>
      </c>
      <c r="D37" s="3">
        <v>162000</v>
      </c>
      <c r="E37" s="3">
        <f t="shared" si="5"/>
        <v>0</v>
      </c>
      <c r="F37" s="3">
        <f>'2019.05.31.'!G37</f>
        <v>0</v>
      </c>
      <c r="G37" s="3">
        <f>'2019.05.31.'!H37</f>
        <v>0</v>
      </c>
      <c r="H37" s="3">
        <f>'2019.05.31.'!I37</f>
        <v>0</v>
      </c>
      <c r="I37" s="3">
        <f>'2019.05.31.'!J37</f>
        <v>162000</v>
      </c>
      <c r="J37" s="3">
        <f>'2019.05.31.'!K37</f>
        <v>27395</v>
      </c>
    </row>
    <row r="38" spans="1:10" x14ac:dyDescent="0.3">
      <c r="A38" s="254"/>
      <c r="B38" s="268"/>
      <c r="C38" s="2" t="s">
        <v>36</v>
      </c>
      <c r="D38" s="3">
        <v>569540</v>
      </c>
      <c r="E38" s="3">
        <f t="shared" si="5"/>
        <v>0</v>
      </c>
      <c r="F38" s="3">
        <f>'2019.05.31.'!G38</f>
        <v>0</v>
      </c>
      <c r="G38" s="3">
        <f>'2019.05.31.'!H38</f>
        <v>0</v>
      </c>
      <c r="H38" s="3">
        <f>'2019.05.31.'!I38</f>
        <v>0</v>
      </c>
      <c r="I38" s="3">
        <f>'2019.05.31.'!J38</f>
        <v>569540</v>
      </c>
      <c r="J38" s="3">
        <f>'2019.05.31.'!K38</f>
        <v>292784</v>
      </c>
    </row>
    <row r="39" spans="1:10" x14ac:dyDescent="0.3">
      <c r="A39" s="254"/>
      <c r="B39" s="268"/>
      <c r="C39" s="2" t="s">
        <v>37</v>
      </c>
      <c r="D39" s="3">
        <v>3000</v>
      </c>
      <c r="E39" s="3">
        <f t="shared" si="5"/>
        <v>0</v>
      </c>
      <c r="F39" s="3">
        <f>'2019.05.31.'!G39</f>
        <v>0</v>
      </c>
      <c r="G39" s="3">
        <f>'2019.05.31.'!H39</f>
        <v>0</v>
      </c>
      <c r="H39" s="3">
        <f>'2019.05.31.'!I39</f>
        <v>0</v>
      </c>
      <c r="I39" s="3">
        <f>'2019.05.31.'!J39</f>
        <v>3000</v>
      </c>
      <c r="J39" s="3">
        <f>'2019.05.31.'!K39</f>
        <v>0</v>
      </c>
    </row>
    <row r="40" spans="1:10" x14ac:dyDescent="0.3">
      <c r="A40" s="254"/>
      <c r="B40" s="268"/>
      <c r="C40" s="2" t="s">
        <v>38</v>
      </c>
      <c r="D40" s="3">
        <v>460000</v>
      </c>
      <c r="E40" s="3">
        <f t="shared" si="5"/>
        <v>-3500</v>
      </c>
      <c r="F40" s="3">
        <f>'2019.05.31.'!G40</f>
        <v>0</v>
      </c>
      <c r="G40" s="3">
        <f>'2019.05.31.'!H40</f>
        <v>0</v>
      </c>
      <c r="H40" s="3">
        <f>'2019.05.31.'!I40</f>
        <v>0</v>
      </c>
      <c r="I40" s="3">
        <f>'2019.05.31.'!J40</f>
        <v>456500</v>
      </c>
      <c r="J40" s="3">
        <f>'2019.05.31.'!K40</f>
        <v>88911</v>
      </c>
    </row>
    <row r="41" spans="1:10" x14ac:dyDescent="0.3">
      <c r="A41" s="254"/>
      <c r="B41" s="268"/>
      <c r="C41" s="2" t="s">
        <v>39</v>
      </c>
      <c r="D41" s="3">
        <v>13200</v>
      </c>
      <c r="E41" s="3">
        <f t="shared" si="5"/>
        <v>-1660</v>
      </c>
      <c r="F41" s="3">
        <f>'2019.05.31.'!G41</f>
        <v>5000</v>
      </c>
      <c r="G41" s="3">
        <f>'2019.05.31.'!H41</f>
        <v>0</v>
      </c>
      <c r="H41" s="3">
        <f>'2019.05.31.'!I41</f>
        <v>0</v>
      </c>
      <c r="I41" s="3">
        <f>'2019.05.31.'!J41</f>
        <v>16540</v>
      </c>
      <c r="J41" s="3">
        <f>'2019.05.31.'!K41</f>
        <v>5379</v>
      </c>
    </row>
    <row r="42" spans="1:10" x14ac:dyDescent="0.3">
      <c r="A42" s="254"/>
      <c r="B42" s="268"/>
      <c r="C42" s="2" t="s">
        <v>40</v>
      </c>
      <c r="D42" s="3">
        <v>137800</v>
      </c>
      <c r="E42" s="3">
        <f t="shared" si="5"/>
        <v>0</v>
      </c>
      <c r="F42" s="3">
        <f>'2019.05.31.'!G42</f>
        <v>0</v>
      </c>
      <c r="G42" s="3">
        <f>'2019.05.31.'!H42</f>
        <v>0</v>
      </c>
      <c r="H42" s="3">
        <f>'2019.05.31.'!I42</f>
        <v>0</v>
      </c>
      <c r="I42" s="3">
        <f>'2019.05.31.'!J42</f>
        <v>137800</v>
      </c>
      <c r="J42" s="3">
        <f>'2019.05.31.'!K42</f>
        <v>26300</v>
      </c>
    </row>
    <row r="43" spans="1:10" x14ac:dyDescent="0.3">
      <c r="A43" s="254"/>
      <c r="B43" s="268"/>
      <c r="C43" s="2" t="s">
        <v>41</v>
      </c>
      <c r="D43" s="3">
        <v>582236</v>
      </c>
      <c r="E43" s="3">
        <f t="shared" si="5"/>
        <v>1660</v>
      </c>
      <c r="F43" s="3">
        <f>'2019.05.31.'!G43</f>
        <v>0</v>
      </c>
      <c r="G43" s="3">
        <f>'2019.05.31.'!H43</f>
        <v>0</v>
      </c>
      <c r="H43" s="3">
        <f>'2019.05.31.'!I43</f>
        <v>0</v>
      </c>
      <c r="I43" s="3">
        <f>'2019.05.31.'!J43</f>
        <v>583896</v>
      </c>
      <c r="J43" s="3">
        <f>'2019.05.31.'!K43</f>
        <v>311964</v>
      </c>
    </row>
    <row r="44" spans="1:10" x14ac:dyDescent="0.3">
      <c r="A44" s="254"/>
      <c r="B44" s="268"/>
      <c r="C44" s="2" t="s">
        <v>42</v>
      </c>
      <c r="D44" s="3">
        <v>552000</v>
      </c>
      <c r="E44" s="3">
        <f t="shared" si="5"/>
        <v>-12560</v>
      </c>
      <c r="F44" s="3">
        <f>'2019.05.31.'!G44</f>
        <v>0</v>
      </c>
      <c r="G44" s="3">
        <f>'2019.05.31.'!H44</f>
        <v>0</v>
      </c>
      <c r="H44" s="3">
        <f>'2019.05.31.'!I44</f>
        <v>0</v>
      </c>
      <c r="I44" s="3">
        <f>'2019.05.31.'!J44</f>
        <v>539440</v>
      </c>
      <c r="J44" s="3">
        <f>'2019.05.31.'!K44</f>
        <v>170570</v>
      </c>
    </row>
    <row r="45" spans="1:10" x14ac:dyDescent="0.3">
      <c r="A45" s="254"/>
      <c r="B45" s="268"/>
      <c r="C45" s="2" t="s">
        <v>43</v>
      </c>
      <c r="D45" s="3">
        <v>30000</v>
      </c>
      <c r="E45" s="3">
        <f t="shared" si="5"/>
        <v>0</v>
      </c>
      <c r="F45" s="3">
        <f>'2019.05.31.'!G45</f>
        <v>0</v>
      </c>
      <c r="G45" s="3">
        <f>'2019.05.31.'!H45</f>
        <v>0</v>
      </c>
      <c r="H45" s="3">
        <f>'2019.05.31.'!I45</f>
        <v>0</v>
      </c>
      <c r="I45" s="3">
        <f>'2019.05.31.'!J45</f>
        <v>30000</v>
      </c>
      <c r="J45" s="3">
        <f>'2019.05.31.'!K45</f>
        <v>0</v>
      </c>
    </row>
    <row r="46" spans="1:10" x14ac:dyDescent="0.3">
      <c r="A46" s="254"/>
      <c r="B46" s="268"/>
      <c r="C46" s="2" t="s">
        <v>44</v>
      </c>
      <c r="D46" s="3">
        <v>455834</v>
      </c>
      <c r="E46" s="3">
        <f t="shared" si="5"/>
        <v>-237399</v>
      </c>
      <c r="F46" s="3">
        <f>'2019.05.31.'!G46</f>
        <v>0</v>
      </c>
      <c r="G46" s="3">
        <f>'2019.05.31.'!H46</f>
        <v>0</v>
      </c>
      <c r="H46" s="3">
        <f>'2019.05.31.'!I46</f>
        <v>0</v>
      </c>
      <c r="I46" s="3">
        <f>'2019.05.31.'!J46</f>
        <v>218435</v>
      </c>
      <c r="J46" s="3">
        <f>'2019.05.31.'!K46</f>
        <v>80394</v>
      </c>
    </row>
    <row r="47" spans="1:10" x14ac:dyDescent="0.3">
      <c r="A47" s="254"/>
      <c r="B47" s="268"/>
      <c r="C47" s="2" t="s">
        <v>45</v>
      </c>
      <c r="D47" s="3">
        <v>80000</v>
      </c>
      <c r="E47" s="3">
        <f t="shared" si="5"/>
        <v>-4236</v>
      </c>
      <c r="F47" s="3">
        <f>'2019.05.31.'!G47</f>
        <v>0</v>
      </c>
      <c r="G47" s="3">
        <f>'2019.05.31.'!H47</f>
        <v>0</v>
      </c>
      <c r="H47" s="3">
        <f>'2019.05.31.'!I47</f>
        <v>0</v>
      </c>
      <c r="I47" s="3">
        <f>'2019.05.31.'!J47</f>
        <v>75764</v>
      </c>
      <c r="J47" s="3">
        <f>'2019.05.31.'!K47</f>
        <v>32520</v>
      </c>
    </row>
    <row r="48" spans="1:10" x14ac:dyDescent="0.3">
      <c r="A48" s="254"/>
      <c r="B48" s="268"/>
      <c r="C48" s="6" t="s">
        <v>49</v>
      </c>
      <c r="D48" s="7">
        <f>SUM(D34:D47)</f>
        <v>3863610</v>
      </c>
      <c r="E48" s="7">
        <f t="shared" ref="E48:I48" si="6">SUM(E34:E47)</f>
        <v>-257695</v>
      </c>
      <c r="F48" s="7">
        <f t="shared" si="6"/>
        <v>5000</v>
      </c>
      <c r="G48" s="7">
        <f t="shared" si="6"/>
        <v>0</v>
      </c>
      <c r="H48" s="7">
        <f t="shared" si="6"/>
        <v>0</v>
      </c>
      <c r="I48" s="7">
        <f t="shared" si="6"/>
        <v>3610915</v>
      </c>
      <c r="J48" s="7">
        <f t="shared" ref="J48" si="7">SUM(J34:J47)</f>
        <v>1106489</v>
      </c>
    </row>
    <row r="49" spans="1:10" x14ac:dyDescent="0.3">
      <c r="A49" s="254"/>
      <c r="B49" s="268"/>
      <c r="C49" s="2" t="s">
        <v>50</v>
      </c>
      <c r="D49" s="3">
        <v>78740</v>
      </c>
      <c r="E49" s="3">
        <f t="shared" ref="E49:E50" si="8">I49-D49-F49-G49-H49</f>
        <v>0</v>
      </c>
      <c r="F49" s="3">
        <f>'2019.05.31.'!G49</f>
        <v>0</v>
      </c>
      <c r="G49" s="3">
        <f>'2019.05.31.'!H49</f>
        <v>0</v>
      </c>
      <c r="H49" s="3">
        <f>'2019.05.31.'!I49</f>
        <v>0</v>
      </c>
      <c r="I49" s="3">
        <f>'2019.05.31.'!J49</f>
        <v>78740</v>
      </c>
      <c r="J49" s="3">
        <f>'2019.05.31.'!K49</f>
        <v>0</v>
      </c>
    </row>
    <row r="50" spans="1:10" x14ac:dyDescent="0.3">
      <c r="A50" s="254"/>
      <c r="B50" s="268"/>
      <c r="C50" s="2" t="s">
        <v>51</v>
      </c>
      <c r="D50" s="3">
        <v>21260</v>
      </c>
      <c r="E50" s="3">
        <f t="shared" si="8"/>
        <v>0</v>
      </c>
      <c r="F50" s="3">
        <f>'2019.05.31.'!G50</f>
        <v>0</v>
      </c>
      <c r="G50" s="3">
        <f>'2019.05.31.'!H50</f>
        <v>0</v>
      </c>
      <c r="H50" s="3">
        <f>'2019.05.31.'!I50</f>
        <v>0</v>
      </c>
      <c r="I50" s="3">
        <f>'2019.05.31.'!J50</f>
        <v>21260</v>
      </c>
      <c r="J50" s="3">
        <f>'2019.05.31.'!K50</f>
        <v>0</v>
      </c>
    </row>
    <row r="51" spans="1:10" x14ac:dyDescent="0.3">
      <c r="A51" s="254"/>
      <c r="B51" s="265"/>
      <c r="C51" s="6" t="s">
        <v>52</v>
      </c>
      <c r="D51" s="7">
        <f>SUM(D49:D50)</f>
        <v>100000</v>
      </c>
      <c r="E51" s="7">
        <f t="shared" ref="E51:I51" si="9">SUM(E49:E50)</f>
        <v>0</v>
      </c>
      <c r="F51" s="7">
        <f t="shared" si="9"/>
        <v>0</v>
      </c>
      <c r="G51" s="7">
        <f t="shared" si="9"/>
        <v>0</v>
      </c>
      <c r="H51" s="7">
        <f t="shared" si="9"/>
        <v>0</v>
      </c>
      <c r="I51" s="7">
        <f t="shared" si="9"/>
        <v>100000</v>
      </c>
      <c r="J51" s="7">
        <f t="shared" ref="J51" si="10">SUM(J49:J50)</f>
        <v>0</v>
      </c>
    </row>
    <row r="52" spans="1:10" x14ac:dyDescent="0.3">
      <c r="A52" s="254"/>
      <c r="B52" s="261" t="s">
        <v>46</v>
      </c>
      <c r="C52" s="2" t="s">
        <v>24</v>
      </c>
      <c r="D52" s="3">
        <v>25123345</v>
      </c>
      <c r="E52" s="3">
        <f t="shared" ref="E52:E60" si="11">I52-D52-F52-G52-H52</f>
        <v>0</v>
      </c>
      <c r="F52" s="3">
        <f>'2019.05.31.'!G52</f>
        <v>0</v>
      </c>
      <c r="G52" s="3">
        <f>'2019.05.31.'!H52</f>
        <v>19936</v>
      </c>
      <c r="H52" s="3">
        <f>'2019.05.31.'!I52</f>
        <v>0</v>
      </c>
      <c r="I52" s="3">
        <f>'2019.05.31.'!J52</f>
        <v>25143281</v>
      </c>
      <c r="J52" s="3">
        <f>'2019.05.31.'!K52</f>
        <v>9499281</v>
      </c>
    </row>
    <row r="53" spans="1:10" x14ac:dyDescent="0.3">
      <c r="A53" s="254"/>
      <c r="B53" s="261"/>
      <c r="C53" s="2" t="s">
        <v>47</v>
      </c>
      <c r="D53" s="3">
        <v>2040480</v>
      </c>
      <c r="E53" s="3">
        <f t="shared" si="11"/>
        <v>0</v>
      </c>
      <c r="F53" s="3">
        <f>'2019.05.31.'!G53</f>
        <v>0</v>
      </c>
      <c r="G53" s="3">
        <f>'2019.05.31.'!H53</f>
        <v>0</v>
      </c>
      <c r="H53" s="3">
        <f>'2019.05.31.'!I53</f>
        <v>0</v>
      </c>
      <c r="I53" s="3">
        <f>'2019.05.31.'!J53</f>
        <v>2040480</v>
      </c>
      <c r="J53" s="3">
        <f>'2019.05.31.'!K53</f>
        <v>785829</v>
      </c>
    </row>
    <row r="54" spans="1:10" x14ac:dyDescent="0.3">
      <c r="A54" s="254"/>
      <c r="B54" s="261"/>
      <c r="C54" s="2" t="s">
        <v>48</v>
      </c>
      <c r="D54" s="3">
        <v>0</v>
      </c>
      <c r="E54" s="3">
        <f t="shared" si="11"/>
        <v>0</v>
      </c>
      <c r="F54" s="3">
        <f>'2019.05.31.'!G54</f>
        <v>0</v>
      </c>
      <c r="G54" s="3">
        <f>'2019.05.31.'!H54</f>
        <v>0</v>
      </c>
      <c r="H54" s="3">
        <f>'2019.05.31.'!I54</f>
        <v>0</v>
      </c>
      <c r="I54" s="3">
        <f>'2019.05.31.'!J54</f>
        <v>0</v>
      </c>
      <c r="J54" s="3">
        <f>'2019.05.31.'!K54</f>
        <v>0</v>
      </c>
    </row>
    <row r="55" spans="1:10" x14ac:dyDescent="0.3">
      <c r="A55" s="254"/>
      <c r="B55" s="261"/>
      <c r="C55" s="2" t="s">
        <v>25</v>
      </c>
      <c r="D55" s="3">
        <v>1025000</v>
      </c>
      <c r="E55" s="3">
        <f t="shared" si="11"/>
        <v>0</v>
      </c>
      <c r="F55" s="3">
        <f>'2019.05.31.'!G55</f>
        <v>0</v>
      </c>
      <c r="G55" s="3">
        <f>'2019.05.31.'!H55</f>
        <v>0</v>
      </c>
      <c r="H55" s="3">
        <f>'2019.05.31.'!I55</f>
        <v>0</v>
      </c>
      <c r="I55" s="3">
        <f>'2019.05.31.'!J55</f>
        <v>1025000</v>
      </c>
      <c r="J55" s="3">
        <f>'2019.05.31.'!K55</f>
        <v>450000</v>
      </c>
    </row>
    <row r="56" spans="1:10" x14ac:dyDescent="0.3">
      <c r="A56" s="254"/>
      <c r="B56" s="261"/>
      <c r="C56" s="2" t="s">
        <v>26</v>
      </c>
      <c r="D56" s="3">
        <v>60000</v>
      </c>
      <c r="E56" s="3">
        <f t="shared" si="11"/>
        <v>0</v>
      </c>
      <c r="F56" s="3">
        <f>'2019.05.31.'!G56</f>
        <v>0</v>
      </c>
      <c r="G56" s="3">
        <f>'2019.05.31.'!H56</f>
        <v>0</v>
      </c>
      <c r="H56" s="3">
        <f>'2019.05.31.'!I56</f>
        <v>0</v>
      </c>
      <c r="I56" s="3">
        <f>'2019.05.31.'!J56</f>
        <v>60000</v>
      </c>
      <c r="J56" s="3">
        <f>'2019.05.31.'!K56</f>
        <v>0</v>
      </c>
    </row>
    <row r="57" spans="1:10" x14ac:dyDescent="0.3">
      <c r="A57" s="254"/>
      <c r="B57" s="261"/>
      <c r="C57" s="2" t="s">
        <v>27</v>
      </c>
      <c r="D57" s="3">
        <v>240000</v>
      </c>
      <c r="E57" s="3">
        <f t="shared" si="11"/>
        <v>0</v>
      </c>
      <c r="F57" s="3">
        <f>'2019.05.31.'!G57</f>
        <v>0</v>
      </c>
      <c r="G57" s="3">
        <f>'2019.05.31.'!H57</f>
        <v>0</v>
      </c>
      <c r="H57" s="3">
        <f>'2019.05.31.'!I57</f>
        <v>0</v>
      </c>
      <c r="I57" s="3">
        <f>'2019.05.31.'!J57</f>
        <v>240000</v>
      </c>
      <c r="J57" s="3">
        <f>'2019.05.31.'!K57</f>
        <v>57870</v>
      </c>
    </row>
    <row r="58" spans="1:10" x14ac:dyDescent="0.3">
      <c r="A58" s="254"/>
      <c r="B58" s="261"/>
      <c r="C58" s="2" t="s">
        <v>28</v>
      </c>
      <c r="D58" s="3">
        <v>147000</v>
      </c>
      <c r="E58" s="3">
        <f t="shared" si="11"/>
        <v>0</v>
      </c>
      <c r="F58" s="3">
        <f>'2019.05.31.'!G58</f>
        <v>0</v>
      </c>
      <c r="G58" s="3">
        <f>'2019.05.31.'!H58</f>
        <v>0</v>
      </c>
      <c r="H58" s="3">
        <f>'2019.05.31.'!I58</f>
        <v>0</v>
      </c>
      <c r="I58" s="3">
        <f>'2019.05.31.'!J58</f>
        <v>147000</v>
      </c>
      <c r="J58" s="3">
        <f>'2019.05.31.'!K58</f>
        <v>57000</v>
      </c>
    </row>
    <row r="59" spans="1:10" x14ac:dyDescent="0.3">
      <c r="A59" s="254"/>
      <c r="B59" s="261"/>
      <c r="C59" s="2" t="s">
        <v>29</v>
      </c>
      <c r="D59" s="3">
        <v>553500</v>
      </c>
      <c r="E59" s="3">
        <f t="shared" si="11"/>
        <v>0</v>
      </c>
      <c r="F59" s="3">
        <f>'2019.05.31.'!G59</f>
        <v>0</v>
      </c>
      <c r="G59" s="3">
        <f>'2019.05.31.'!H59</f>
        <v>0</v>
      </c>
      <c r="H59" s="3">
        <f>'2019.05.31.'!I59</f>
        <v>0</v>
      </c>
      <c r="I59" s="3">
        <f>'2019.05.31.'!J59</f>
        <v>553500</v>
      </c>
      <c r="J59" s="3">
        <f>'2019.05.31.'!K59</f>
        <v>173817</v>
      </c>
    </row>
    <row r="60" spans="1:10" x14ac:dyDescent="0.3">
      <c r="A60" s="254"/>
      <c r="B60" s="261"/>
      <c r="C60" s="2" t="s">
        <v>30</v>
      </c>
      <c r="D60" s="3">
        <v>100000</v>
      </c>
      <c r="E60" s="3">
        <f t="shared" si="11"/>
        <v>0</v>
      </c>
      <c r="F60" s="3">
        <f>'2019.05.31.'!G60</f>
        <v>0</v>
      </c>
      <c r="G60" s="3">
        <f>'2019.05.31.'!H60</f>
        <v>0</v>
      </c>
      <c r="H60" s="3">
        <f>'2019.05.31.'!I60</f>
        <v>0</v>
      </c>
      <c r="I60" s="3">
        <f>'2019.05.31.'!J60</f>
        <v>100000</v>
      </c>
      <c r="J60" s="3">
        <f>'2019.05.31.'!K60</f>
        <v>1500</v>
      </c>
    </row>
    <row r="61" spans="1:10" x14ac:dyDescent="0.3">
      <c r="A61" s="254"/>
      <c r="B61" s="261"/>
      <c r="C61" s="6" t="s">
        <v>53</v>
      </c>
      <c r="D61" s="7">
        <f>SUM(D52:D60)</f>
        <v>29289325</v>
      </c>
      <c r="E61" s="7">
        <f t="shared" ref="E61:I61" si="12">SUM(E52:E60)</f>
        <v>0</v>
      </c>
      <c r="F61" s="7">
        <f t="shared" si="12"/>
        <v>0</v>
      </c>
      <c r="G61" s="7">
        <f t="shared" si="12"/>
        <v>19936</v>
      </c>
      <c r="H61" s="7">
        <f t="shared" si="12"/>
        <v>0</v>
      </c>
      <c r="I61" s="7">
        <f t="shared" si="12"/>
        <v>29309261</v>
      </c>
      <c r="J61" s="7">
        <f t="shared" ref="J61" si="13">SUM(J52:J60)</f>
        <v>11025297</v>
      </c>
    </row>
    <row r="62" spans="1:10" x14ac:dyDescent="0.3">
      <c r="A62" s="254"/>
      <c r="B62" s="261"/>
      <c r="C62" s="96" t="s">
        <v>31</v>
      </c>
      <c r="D62" s="83">
        <v>5849797</v>
      </c>
      <c r="E62" s="85">
        <f t="shared" ref="E62:E75" si="14">I62-D62-F62-G62-H62</f>
        <v>0</v>
      </c>
      <c r="F62" s="83">
        <f>'2019.05.31.'!G62</f>
        <v>0</v>
      </c>
      <c r="G62" s="83">
        <f>'2019.05.31.'!H62</f>
        <v>3888</v>
      </c>
      <c r="H62" s="83">
        <f>'2019.05.31.'!I62</f>
        <v>0</v>
      </c>
      <c r="I62" s="85">
        <f>'2019.05.31.'!J62</f>
        <v>5853685</v>
      </c>
      <c r="J62" s="85">
        <f>'2019.05.31.'!K62</f>
        <v>2390718</v>
      </c>
    </row>
    <row r="63" spans="1:10" x14ac:dyDescent="0.3">
      <c r="A63" s="254"/>
      <c r="B63" s="261"/>
      <c r="C63" s="2" t="s">
        <v>32</v>
      </c>
      <c r="D63" s="3">
        <v>105000</v>
      </c>
      <c r="E63" s="3">
        <f t="shared" si="14"/>
        <v>0</v>
      </c>
      <c r="F63" s="3">
        <f>'2019.05.31.'!G63</f>
        <v>0</v>
      </c>
      <c r="G63" s="3">
        <f>'2019.05.31.'!H63</f>
        <v>0</v>
      </c>
      <c r="H63" s="3">
        <f>'2019.05.31.'!I63</f>
        <v>0</v>
      </c>
      <c r="I63" s="3">
        <f>'2019.05.31.'!J63</f>
        <v>105000</v>
      </c>
      <c r="J63" s="3">
        <f>'2019.05.31.'!K63</f>
        <v>17780</v>
      </c>
    </row>
    <row r="64" spans="1:10" x14ac:dyDescent="0.3">
      <c r="A64" s="254"/>
      <c r="B64" s="261"/>
      <c r="C64" s="2" t="s">
        <v>33</v>
      </c>
      <c r="D64" s="3">
        <v>700000</v>
      </c>
      <c r="E64" s="3">
        <f t="shared" si="14"/>
        <v>0</v>
      </c>
      <c r="F64" s="3">
        <f>'2019.05.31.'!G64</f>
        <v>0</v>
      </c>
      <c r="G64" s="3">
        <f>'2019.05.31.'!H64</f>
        <v>0</v>
      </c>
      <c r="H64" s="3">
        <f>'2019.05.31.'!I64</f>
        <v>0</v>
      </c>
      <c r="I64" s="3">
        <f>'2019.05.31.'!J64</f>
        <v>700000</v>
      </c>
      <c r="J64" s="3">
        <f>'2019.05.31.'!K64</f>
        <v>13072</v>
      </c>
    </row>
    <row r="65" spans="1:10" x14ac:dyDescent="0.3">
      <c r="A65" s="254"/>
      <c r="B65" s="261"/>
      <c r="C65" s="2" t="s">
        <v>34</v>
      </c>
      <c r="D65" s="3">
        <v>213000</v>
      </c>
      <c r="E65" s="3">
        <f t="shared" si="14"/>
        <v>0</v>
      </c>
      <c r="F65" s="3">
        <f>'2019.05.31.'!G65</f>
        <v>0</v>
      </c>
      <c r="G65" s="3">
        <f>'2019.05.31.'!H65</f>
        <v>0</v>
      </c>
      <c r="H65" s="3">
        <f>'2019.05.31.'!I65</f>
        <v>0</v>
      </c>
      <c r="I65" s="3">
        <f>'2019.05.31.'!J65</f>
        <v>213000</v>
      </c>
      <c r="J65" s="3">
        <f>'2019.05.31.'!K65</f>
        <v>52494</v>
      </c>
    </row>
    <row r="66" spans="1:10" x14ac:dyDescent="0.3">
      <c r="A66" s="254"/>
      <c r="B66" s="261"/>
      <c r="C66" s="2" t="s">
        <v>35</v>
      </c>
      <c r="D66" s="3">
        <v>288000</v>
      </c>
      <c r="E66" s="3">
        <f t="shared" si="14"/>
        <v>-172800</v>
      </c>
      <c r="F66" s="3">
        <f>'2019.05.31.'!G66</f>
        <v>7000</v>
      </c>
      <c r="G66" s="3">
        <f>'2019.05.31.'!H66</f>
        <v>0</v>
      </c>
      <c r="H66" s="3">
        <f>'2019.05.31.'!I66</f>
        <v>0</v>
      </c>
      <c r="I66" s="3">
        <f>'2019.05.31.'!J66</f>
        <v>122200</v>
      </c>
      <c r="J66" s="3">
        <f>'2019.05.31.'!K66</f>
        <v>46264</v>
      </c>
    </row>
    <row r="67" spans="1:10" x14ac:dyDescent="0.3">
      <c r="A67" s="254"/>
      <c r="B67" s="261"/>
      <c r="C67" s="2" t="s">
        <v>36</v>
      </c>
      <c r="D67" s="3">
        <v>669540</v>
      </c>
      <c r="E67" s="3">
        <f t="shared" si="14"/>
        <v>0</v>
      </c>
      <c r="F67" s="3">
        <f>'2019.05.31.'!G67</f>
        <v>0</v>
      </c>
      <c r="G67" s="3">
        <f>'2019.05.31.'!H67</f>
        <v>0</v>
      </c>
      <c r="H67" s="3">
        <f>'2019.05.31.'!I67</f>
        <v>0</v>
      </c>
      <c r="I67" s="3">
        <f>'2019.05.31.'!J67</f>
        <v>669540</v>
      </c>
      <c r="J67" s="3">
        <f>'2019.05.31.'!K67</f>
        <v>354606</v>
      </c>
    </row>
    <row r="68" spans="1:10" x14ac:dyDescent="0.3">
      <c r="A68" s="254"/>
      <c r="B68" s="261"/>
      <c r="C68" s="2" t="s">
        <v>37</v>
      </c>
      <c r="D68" s="3">
        <v>123000</v>
      </c>
      <c r="E68" s="3">
        <f t="shared" si="14"/>
        <v>0</v>
      </c>
      <c r="F68" s="3">
        <f>'2019.05.31.'!G68</f>
        <v>0</v>
      </c>
      <c r="G68" s="3">
        <f>'2019.05.31.'!H68</f>
        <v>0</v>
      </c>
      <c r="H68" s="3">
        <f>'2019.05.31.'!I68</f>
        <v>0</v>
      </c>
      <c r="I68" s="3">
        <f>'2019.05.31.'!J68</f>
        <v>123000</v>
      </c>
      <c r="J68" s="3">
        <f>'2019.05.31.'!K68</f>
        <v>0</v>
      </c>
    </row>
    <row r="69" spans="1:10" x14ac:dyDescent="0.3">
      <c r="A69" s="254"/>
      <c r="B69" s="261"/>
      <c r="C69" s="2" t="s">
        <v>38</v>
      </c>
      <c r="D69" s="3">
        <v>460000</v>
      </c>
      <c r="E69" s="3">
        <f t="shared" si="14"/>
        <v>0</v>
      </c>
      <c r="F69" s="3">
        <f>'2019.05.31.'!G69</f>
        <v>0</v>
      </c>
      <c r="G69" s="3">
        <f>'2019.05.31.'!H69</f>
        <v>0</v>
      </c>
      <c r="H69" s="3">
        <f>'2019.05.31.'!I69</f>
        <v>0</v>
      </c>
      <c r="I69" s="3">
        <f>'2019.05.31.'!J69</f>
        <v>460000</v>
      </c>
      <c r="J69" s="3">
        <f>'2019.05.31.'!K69</f>
        <v>88914</v>
      </c>
    </row>
    <row r="70" spans="1:10" x14ac:dyDescent="0.3">
      <c r="A70" s="254"/>
      <c r="B70" s="261"/>
      <c r="C70" s="2" t="s">
        <v>40</v>
      </c>
      <c r="D70" s="3">
        <v>1361904</v>
      </c>
      <c r="E70" s="3">
        <f t="shared" si="14"/>
        <v>0</v>
      </c>
      <c r="F70" s="3">
        <f>'2019.05.31.'!G70</f>
        <v>0</v>
      </c>
      <c r="G70" s="3">
        <f>'2019.05.31.'!H70</f>
        <v>0</v>
      </c>
      <c r="H70" s="3">
        <f>'2019.05.31.'!I70</f>
        <v>0</v>
      </c>
      <c r="I70" s="3">
        <f>'2019.05.31.'!J70</f>
        <v>1361904</v>
      </c>
      <c r="J70" s="3">
        <f>'2019.05.31.'!K70</f>
        <v>272068</v>
      </c>
    </row>
    <row r="71" spans="1:10" x14ac:dyDescent="0.3">
      <c r="A71" s="254"/>
      <c r="B71" s="261"/>
      <c r="C71" s="2" t="s">
        <v>41</v>
      </c>
      <c r="D71" s="3">
        <v>982236</v>
      </c>
      <c r="E71" s="3">
        <f t="shared" si="14"/>
        <v>0</v>
      </c>
      <c r="F71" s="3">
        <f>'2019.05.31.'!G71</f>
        <v>0</v>
      </c>
      <c r="G71" s="3">
        <f>'2019.05.31.'!H71</f>
        <v>0</v>
      </c>
      <c r="H71" s="3">
        <f>'2019.05.31.'!I71</f>
        <v>0</v>
      </c>
      <c r="I71" s="3">
        <f>'2019.05.31.'!J71</f>
        <v>982236</v>
      </c>
      <c r="J71" s="3">
        <f>'2019.05.31.'!K71</f>
        <v>321879</v>
      </c>
    </row>
    <row r="72" spans="1:10" x14ac:dyDescent="0.3">
      <c r="A72" s="254"/>
      <c r="B72" s="261"/>
      <c r="C72" s="2" t="s">
        <v>42</v>
      </c>
      <c r="D72" s="3">
        <v>1200000</v>
      </c>
      <c r="E72" s="3">
        <f t="shared" si="14"/>
        <v>-52040</v>
      </c>
      <c r="F72" s="3">
        <f>'2019.05.31.'!G72</f>
        <v>0</v>
      </c>
      <c r="G72" s="3">
        <f>'2019.05.31.'!H72</f>
        <v>0</v>
      </c>
      <c r="H72" s="3">
        <f>'2019.05.31.'!I72</f>
        <v>0</v>
      </c>
      <c r="I72" s="3">
        <f>'2019.05.31.'!J72</f>
        <v>1147960</v>
      </c>
      <c r="J72" s="3">
        <f>'2019.05.31.'!K72</f>
        <v>164335</v>
      </c>
    </row>
    <row r="73" spans="1:10" x14ac:dyDescent="0.3">
      <c r="A73" s="254"/>
      <c r="B73" s="261"/>
      <c r="C73" s="2" t="s">
        <v>43</v>
      </c>
      <c r="D73" s="3">
        <v>30000</v>
      </c>
      <c r="E73" s="3">
        <f t="shared" si="14"/>
        <v>0</v>
      </c>
      <c r="F73" s="3">
        <f>'2019.05.31.'!G73</f>
        <v>0</v>
      </c>
      <c r="G73" s="3">
        <f>'2019.05.31.'!H73</f>
        <v>0</v>
      </c>
      <c r="H73" s="3">
        <f>'2019.05.31.'!I73</f>
        <v>0</v>
      </c>
      <c r="I73" s="3">
        <f>'2019.05.31.'!J73</f>
        <v>30000</v>
      </c>
      <c r="J73" s="3">
        <f>'2019.05.31.'!K73</f>
        <v>0</v>
      </c>
    </row>
    <row r="74" spans="1:10" x14ac:dyDescent="0.3">
      <c r="A74" s="254"/>
      <c r="B74" s="261"/>
      <c r="C74" s="2" t="s">
        <v>44</v>
      </c>
      <c r="D74" s="3">
        <v>1041508</v>
      </c>
      <c r="E74" s="3">
        <f t="shared" si="14"/>
        <v>-61085</v>
      </c>
      <c r="F74" s="3">
        <f>'2019.05.31.'!G74</f>
        <v>0</v>
      </c>
      <c r="G74" s="3">
        <f>'2019.05.31.'!H74</f>
        <v>0</v>
      </c>
      <c r="H74" s="3">
        <f>'2019.05.31.'!I74</f>
        <v>0</v>
      </c>
      <c r="I74" s="3">
        <f>'2019.05.31.'!J74</f>
        <v>980423</v>
      </c>
      <c r="J74" s="3">
        <f>'2019.05.31.'!K74</f>
        <v>149842</v>
      </c>
    </row>
    <row r="75" spans="1:10" x14ac:dyDescent="0.3">
      <c r="A75" s="254"/>
      <c r="B75" s="261"/>
      <c r="C75" s="2" t="s">
        <v>45</v>
      </c>
      <c r="D75" s="3">
        <v>433021</v>
      </c>
      <c r="E75" s="3">
        <f t="shared" si="14"/>
        <v>-272618</v>
      </c>
      <c r="F75" s="3">
        <f>'2019.05.31.'!G75</f>
        <v>0</v>
      </c>
      <c r="G75" s="3">
        <f>'2019.05.31.'!H75</f>
        <v>0</v>
      </c>
      <c r="H75" s="3">
        <f>'2019.05.31.'!I75</f>
        <v>0</v>
      </c>
      <c r="I75" s="3">
        <f>'2019.05.31.'!J75</f>
        <v>160403</v>
      </c>
      <c r="J75" s="3">
        <f>'2019.05.31.'!K75</f>
        <v>0</v>
      </c>
    </row>
    <row r="76" spans="1:10" x14ac:dyDescent="0.3">
      <c r="A76" s="254"/>
      <c r="B76" s="261"/>
      <c r="C76" s="6" t="s">
        <v>49</v>
      </c>
      <c r="D76" s="7">
        <f>SUM(D63:D75)</f>
        <v>7607209</v>
      </c>
      <c r="E76" s="7">
        <f t="shared" ref="E76:I76" si="15">SUM(E63:E75)</f>
        <v>-558543</v>
      </c>
      <c r="F76" s="7">
        <f t="shared" si="15"/>
        <v>7000</v>
      </c>
      <c r="G76" s="7">
        <f t="shared" si="15"/>
        <v>0</v>
      </c>
      <c r="H76" s="7">
        <f t="shared" si="15"/>
        <v>0</v>
      </c>
      <c r="I76" s="7">
        <f t="shared" si="15"/>
        <v>7055666</v>
      </c>
      <c r="J76" s="7">
        <f t="shared" ref="J76" si="16">SUM(J63:J75)</f>
        <v>1481254</v>
      </c>
    </row>
    <row r="77" spans="1:10" x14ac:dyDescent="0.3">
      <c r="A77" s="254"/>
      <c r="B77" s="261"/>
      <c r="C77" s="2" t="s">
        <v>50</v>
      </c>
      <c r="D77" s="3">
        <v>78740</v>
      </c>
      <c r="E77" s="3">
        <f t="shared" ref="E77:E78" si="17">I77-D77-F77-G77-H77</f>
        <v>0</v>
      </c>
      <c r="F77" s="3">
        <f>'2019.05.31.'!G77</f>
        <v>0</v>
      </c>
      <c r="G77" s="3">
        <f>'2019.05.31.'!H77</f>
        <v>0</v>
      </c>
      <c r="H77" s="3">
        <f>'2019.05.31.'!I77</f>
        <v>0</v>
      </c>
      <c r="I77" s="3">
        <f>'2019.05.31.'!J77</f>
        <v>78740</v>
      </c>
      <c r="J77" s="3">
        <f>'2019.05.31.'!K77</f>
        <v>0</v>
      </c>
    </row>
    <row r="78" spans="1:10" x14ac:dyDescent="0.3">
      <c r="A78" s="254"/>
      <c r="B78" s="261"/>
      <c r="C78" s="2" t="s">
        <v>51</v>
      </c>
      <c r="D78" s="3">
        <v>21260</v>
      </c>
      <c r="E78" s="3">
        <f t="shared" si="17"/>
        <v>0</v>
      </c>
      <c r="F78" s="3">
        <f>'2019.05.31.'!G78</f>
        <v>0</v>
      </c>
      <c r="G78" s="3">
        <f>'2019.05.31.'!H78</f>
        <v>0</v>
      </c>
      <c r="H78" s="3">
        <f>'2019.05.31.'!I78</f>
        <v>0</v>
      </c>
      <c r="I78" s="3">
        <f>'2019.05.31.'!J78</f>
        <v>21260</v>
      </c>
      <c r="J78" s="3">
        <f>'2019.05.31.'!K78</f>
        <v>0</v>
      </c>
    </row>
    <row r="79" spans="1:10" x14ac:dyDescent="0.3">
      <c r="A79" s="254"/>
      <c r="B79" s="261"/>
      <c r="C79" s="6" t="s">
        <v>52</v>
      </c>
      <c r="D79" s="7">
        <f>SUM(D77:D78)</f>
        <v>100000</v>
      </c>
      <c r="E79" s="7">
        <f t="shared" ref="E79:I79" si="18">SUM(E77:E78)</f>
        <v>0</v>
      </c>
      <c r="F79" s="7">
        <f t="shared" si="18"/>
        <v>0</v>
      </c>
      <c r="G79" s="7">
        <f t="shared" si="18"/>
        <v>0</v>
      </c>
      <c r="H79" s="7">
        <f t="shared" si="18"/>
        <v>0</v>
      </c>
      <c r="I79" s="7">
        <f t="shared" si="18"/>
        <v>100000</v>
      </c>
      <c r="J79" s="7">
        <f t="shared" ref="J79" si="19">SUM(J77:J78)</f>
        <v>0</v>
      </c>
    </row>
    <row r="80" spans="1:10" x14ac:dyDescent="0.3">
      <c r="A80" s="281" t="s">
        <v>58</v>
      </c>
      <c r="B80" s="280" t="s">
        <v>46</v>
      </c>
      <c r="C80" s="15" t="s">
        <v>29</v>
      </c>
      <c r="D80" s="24">
        <v>410400</v>
      </c>
      <c r="E80" s="3">
        <f t="shared" ref="E80:E87" si="20">I80-D80-F80-G80-H80</f>
        <v>0</v>
      </c>
      <c r="F80" s="11">
        <f>'2019.05.31.'!G80</f>
        <v>0</v>
      </c>
      <c r="G80" s="11">
        <f>'2019.05.31.'!H80</f>
        <v>0</v>
      </c>
      <c r="H80" s="11">
        <f>'2019.05.31.'!I80</f>
        <v>0</v>
      </c>
      <c r="I80" s="3">
        <f>'2019.05.31.'!J80</f>
        <v>410400</v>
      </c>
      <c r="J80" s="3">
        <f>'2019.05.31.'!K80</f>
        <v>177400</v>
      </c>
    </row>
    <row r="81" spans="1:10" x14ac:dyDescent="0.3">
      <c r="A81" s="282"/>
      <c r="B81" s="286"/>
      <c r="C81" s="15" t="s">
        <v>31</v>
      </c>
      <c r="D81" s="24">
        <v>76266</v>
      </c>
      <c r="E81" s="3">
        <f t="shared" si="20"/>
        <v>0</v>
      </c>
      <c r="F81" s="11">
        <f>'2019.05.31.'!G81</f>
        <v>0</v>
      </c>
      <c r="G81" s="11">
        <f>'2019.05.31.'!H81</f>
        <v>0</v>
      </c>
      <c r="H81" s="11">
        <f>'2019.05.31.'!I81</f>
        <v>0</v>
      </c>
      <c r="I81" s="3">
        <f>'2019.05.31.'!J81</f>
        <v>76266</v>
      </c>
      <c r="J81" s="3">
        <f>'2019.05.31.'!K81</f>
        <v>34593</v>
      </c>
    </row>
    <row r="82" spans="1:10" x14ac:dyDescent="0.3">
      <c r="A82" s="281" t="s">
        <v>59</v>
      </c>
      <c r="B82" s="280" t="s">
        <v>23</v>
      </c>
      <c r="C82" s="15" t="s">
        <v>29</v>
      </c>
      <c r="D82" s="24">
        <v>603600</v>
      </c>
      <c r="E82" s="3">
        <f t="shared" si="20"/>
        <v>0</v>
      </c>
      <c r="F82" s="11">
        <f>'2019.05.31.'!G82</f>
        <v>0</v>
      </c>
      <c r="G82" s="11">
        <f>'2019.05.31.'!H82</f>
        <v>0</v>
      </c>
      <c r="H82" s="11">
        <f>'2019.05.31.'!I82</f>
        <v>0</v>
      </c>
      <c r="I82" s="3">
        <f>'2019.05.31.'!J82</f>
        <v>603600</v>
      </c>
      <c r="J82" s="3">
        <f>'2019.05.31.'!K82</f>
        <v>156300</v>
      </c>
    </row>
    <row r="83" spans="1:10" x14ac:dyDescent="0.3">
      <c r="A83" s="282"/>
      <c r="B83" s="286"/>
      <c r="C83" s="15" t="s">
        <v>31</v>
      </c>
      <c r="D83" s="24">
        <v>112169</v>
      </c>
      <c r="E83" s="3">
        <f t="shared" si="20"/>
        <v>0</v>
      </c>
      <c r="F83" s="11">
        <f>'2019.05.31.'!G83</f>
        <v>0</v>
      </c>
      <c r="G83" s="11">
        <f>'2019.05.31.'!H83</f>
        <v>0</v>
      </c>
      <c r="H83" s="11">
        <f>'2019.05.31.'!I83</f>
        <v>0</v>
      </c>
      <c r="I83" s="3">
        <f>'2019.05.31.'!J83</f>
        <v>112169</v>
      </c>
      <c r="J83" s="3">
        <f>'2019.05.31.'!K83</f>
        <v>30478</v>
      </c>
    </row>
    <row r="84" spans="1:10" x14ac:dyDescent="0.3">
      <c r="A84" s="281" t="s">
        <v>60</v>
      </c>
      <c r="B84" s="280" t="s">
        <v>23</v>
      </c>
      <c r="C84" s="15" t="s">
        <v>24</v>
      </c>
      <c r="D84" s="24">
        <v>10676226</v>
      </c>
      <c r="E84" s="3">
        <f t="shared" si="20"/>
        <v>0</v>
      </c>
      <c r="F84" s="11">
        <f>'2019.05.31.'!G84</f>
        <v>0</v>
      </c>
      <c r="G84" s="11">
        <f>'2019.05.31.'!H84</f>
        <v>0</v>
      </c>
      <c r="H84" s="11">
        <f>'2019.05.31.'!I84</f>
        <v>0</v>
      </c>
      <c r="I84" s="3">
        <f>'2019.05.31.'!J84</f>
        <v>10676226</v>
      </c>
      <c r="J84" s="3">
        <f>'2019.05.31.'!K84</f>
        <v>4284199</v>
      </c>
    </row>
    <row r="85" spans="1:10" x14ac:dyDescent="0.3">
      <c r="A85" s="282"/>
      <c r="B85" s="286"/>
      <c r="C85" s="15" t="s">
        <v>31</v>
      </c>
      <c r="D85" s="24">
        <v>1989265</v>
      </c>
      <c r="E85" s="3">
        <f t="shared" si="20"/>
        <v>0</v>
      </c>
      <c r="F85" s="11">
        <f>'2019.05.31.'!G85</f>
        <v>0</v>
      </c>
      <c r="G85" s="11">
        <f>'2019.05.31.'!H85</f>
        <v>0</v>
      </c>
      <c r="H85" s="11">
        <f>'2019.05.31.'!I85</f>
        <v>0</v>
      </c>
      <c r="I85" s="3">
        <f>'2019.05.31.'!J85</f>
        <v>1989265</v>
      </c>
      <c r="J85" s="3">
        <f>'2019.05.31.'!K85</f>
        <v>835424</v>
      </c>
    </row>
    <row r="86" spans="1:10" x14ac:dyDescent="0.3">
      <c r="A86" s="281" t="s">
        <v>61</v>
      </c>
      <c r="B86" s="280" t="s">
        <v>46</v>
      </c>
      <c r="C86" s="15" t="s">
        <v>24</v>
      </c>
      <c r="D86" s="24">
        <v>8397674</v>
      </c>
      <c r="E86" s="3">
        <f t="shared" si="20"/>
        <v>0</v>
      </c>
      <c r="F86" s="11">
        <f>'2019.05.31.'!G86</f>
        <v>0</v>
      </c>
      <c r="G86" s="11">
        <f>'2019.05.31.'!H86</f>
        <v>0</v>
      </c>
      <c r="H86" s="11">
        <f>'2019.05.31.'!I86</f>
        <v>0</v>
      </c>
      <c r="I86" s="3">
        <f>'2019.05.31.'!J86</f>
        <v>8397674</v>
      </c>
      <c r="J86" s="3">
        <f>'2019.05.31.'!K86</f>
        <v>3154115</v>
      </c>
    </row>
    <row r="87" spans="1:10" x14ac:dyDescent="0.3">
      <c r="A87" s="282"/>
      <c r="B87" s="286"/>
      <c r="C87" s="15" t="s">
        <v>31</v>
      </c>
      <c r="D87" s="24">
        <v>1563353</v>
      </c>
      <c r="E87" s="3">
        <f t="shared" si="20"/>
        <v>0</v>
      </c>
      <c r="F87" s="11">
        <f>'2019.05.31.'!G87</f>
        <v>0</v>
      </c>
      <c r="G87" s="11">
        <f>'2019.05.31.'!H87</f>
        <v>0</v>
      </c>
      <c r="H87" s="11">
        <f>'2019.05.31.'!I87</f>
        <v>0</v>
      </c>
      <c r="I87" s="3">
        <f>'2019.05.31.'!J87</f>
        <v>1563353</v>
      </c>
      <c r="J87" s="3">
        <f>'2019.05.31.'!K87</f>
        <v>615051</v>
      </c>
    </row>
    <row r="88" spans="1:10" s="92" customFormat="1" ht="19.5" customHeight="1" x14ac:dyDescent="0.3">
      <c r="A88" s="341" t="s">
        <v>76</v>
      </c>
      <c r="B88" s="342"/>
      <c r="C88" s="343"/>
      <c r="D88" s="91">
        <f t="shared" ref="D88" si="21">SUM(D32+D33+D48+D51+D61+D62+D76+D79+D80+D81+D82+D83+D84+D85+D86+D87)</f>
        <v>118207303</v>
      </c>
      <c r="E88" s="91">
        <f t="shared" ref="E88:I88" si="22">SUM(E32+E33+E48+E51+E61+E62+E76+E79+E80+E81+E82+E83+E84+E85+E86+E87)</f>
        <v>-816238</v>
      </c>
      <c r="F88" s="91">
        <f t="shared" si="22"/>
        <v>12000</v>
      </c>
      <c r="G88" s="91">
        <f t="shared" si="22"/>
        <v>38009</v>
      </c>
      <c r="H88" s="91">
        <f t="shared" si="22"/>
        <v>0</v>
      </c>
      <c r="I88" s="91">
        <f t="shared" si="22"/>
        <v>117441074</v>
      </c>
      <c r="J88" s="91">
        <f t="shared" ref="J88" si="23">SUM(J32+J33+J48+J51+J61+J62+J76+J79+J80+J81+J82+J83+J84+J85+J86+J87)</f>
        <v>42710540</v>
      </c>
    </row>
    <row r="89" spans="1:10" x14ac:dyDescent="0.3">
      <c r="A89" s="254" t="s">
        <v>12</v>
      </c>
      <c r="B89" s="261" t="s">
        <v>23</v>
      </c>
      <c r="C89" s="2" t="s">
        <v>24</v>
      </c>
      <c r="D89" s="3">
        <v>4811583</v>
      </c>
      <c r="E89" s="3">
        <f t="shared" ref="E89:E95" si="24">I89-D89-F89-G89-H89</f>
        <v>0</v>
      </c>
      <c r="F89" s="3">
        <f>'2019.05.31.'!G89</f>
        <v>0</v>
      </c>
      <c r="G89" s="3">
        <f>'2019.05.31.'!H89</f>
        <v>0</v>
      </c>
      <c r="H89" s="3">
        <f>'2019.05.31.'!I89</f>
        <v>0</v>
      </c>
      <c r="I89" s="3">
        <f>'2019.05.31.'!J89</f>
        <v>4811583</v>
      </c>
      <c r="J89" s="3">
        <f>'2019.05.31.'!K89</f>
        <v>1920999</v>
      </c>
    </row>
    <row r="90" spans="1:10" x14ac:dyDescent="0.3">
      <c r="A90" s="254"/>
      <c r="B90" s="261"/>
      <c r="C90" s="2" t="s">
        <v>25</v>
      </c>
      <c r="D90" s="3">
        <v>200000</v>
      </c>
      <c r="E90" s="3">
        <f t="shared" si="24"/>
        <v>0</v>
      </c>
      <c r="F90" s="3">
        <f>'2019.05.31.'!G90</f>
        <v>0</v>
      </c>
      <c r="G90" s="3">
        <f>'2019.05.31.'!H90</f>
        <v>0</v>
      </c>
      <c r="H90" s="3">
        <f>'2019.05.31.'!I90</f>
        <v>0</v>
      </c>
      <c r="I90" s="3">
        <f>'2019.05.31.'!J90</f>
        <v>200000</v>
      </c>
      <c r="J90" s="3">
        <f>'2019.05.31.'!K90</f>
        <v>100000</v>
      </c>
    </row>
    <row r="91" spans="1:10" x14ac:dyDescent="0.3">
      <c r="A91" s="254"/>
      <c r="B91" s="261"/>
      <c r="C91" s="2" t="s">
        <v>26</v>
      </c>
      <c r="D91" s="3">
        <v>10000</v>
      </c>
      <c r="E91" s="3">
        <f t="shared" si="24"/>
        <v>0</v>
      </c>
      <c r="F91" s="3">
        <f>'2019.05.31.'!G91</f>
        <v>0</v>
      </c>
      <c r="G91" s="3">
        <f>'2019.05.31.'!H91</f>
        <v>0</v>
      </c>
      <c r="H91" s="3">
        <f>'2019.05.31.'!I91</f>
        <v>0</v>
      </c>
      <c r="I91" s="3">
        <f>'2019.05.31.'!J91</f>
        <v>10000</v>
      </c>
      <c r="J91" s="3">
        <f>'2019.05.31.'!K91</f>
        <v>0</v>
      </c>
    </row>
    <row r="92" spans="1:10" x14ac:dyDescent="0.3">
      <c r="A92" s="254"/>
      <c r="B92" s="261"/>
      <c r="C92" s="2" t="s">
        <v>27</v>
      </c>
      <c r="D92" s="3">
        <v>198000</v>
      </c>
      <c r="E92" s="3">
        <f t="shared" si="24"/>
        <v>0</v>
      </c>
      <c r="F92" s="3">
        <f>'2019.05.31.'!G92</f>
        <v>0</v>
      </c>
      <c r="G92" s="3">
        <f>'2019.05.31.'!H92</f>
        <v>0</v>
      </c>
      <c r="H92" s="3">
        <f>'2019.05.31.'!I92</f>
        <v>0</v>
      </c>
      <c r="I92" s="3">
        <f>'2019.05.31.'!J92</f>
        <v>198000</v>
      </c>
      <c r="J92" s="3">
        <f>'2019.05.31.'!K92</f>
        <v>46980</v>
      </c>
    </row>
    <row r="93" spans="1:10" x14ac:dyDescent="0.3">
      <c r="A93" s="254"/>
      <c r="B93" s="261"/>
      <c r="C93" s="2" t="s">
        <v>28</v>
      </c>
      <c r="D93" s="3">
        <v>24000</v>
      </c>
      <c r="E93" s="3">
        <f t="shared" si="24"/>
        <v>0</v>
      </c>
      <c r="F93" s="3">
        <f>'2019.05.31.'!G93</f>
        <v>0</v>
      </c>
      <c r="G93" s="3">
        <f>'2019.05.31.'!H93</f>
        <v>0</v>
      </c>
      <c r="H93" s="3">
        <f>'2019.05.31.'!I93</f>
        <v>0</v>
      </c>
      <c r="I93" s="3">
        <f>'2019.05.31.'!J93</f>
        <v>24000</v>
      </c>
      <c r="J93" s="3">
        <f>'2019.05.31.'!K93</f>
        <v>12000</v>
      </c>
    </row>
    <row r="94" spans="1:10" x14ac:dyDescent="0.3">
      <c r="A94" s="254"/>
      <c r="B94" s="261"/>
      <c r="C94" s="2" t="s">
        <v>29</v>
      </c>
      <c r="D94" s="3">
        <v>75000</v>
      </c>
      <c r="E94" s="3">
        <f t="shared" si="24"/>
        <v>0</v>
      </c>
      <c r="F94" s="3">
        <f>'2019.05.31.'!G94</f>
        <v>0</v>
      </c>
      <c r="G94" s="3">
        <f>'2019.05.31.'!H94</f>
        <v>0</v>
      </c>
      <c r="H94" s="3">
        <f>'2019.05.31.'!I94</f>
        <v>0</v>
      </c>
      <c r="I94" s="3">
        <f>'2019.05.31.'!J94</f>
        <v>75000</v>
      </c>
      <c r="J94" s="3">
        <f>'2019.05.31.'!K94</f>
        <v>0</v>
      </c>
    </row>
    <row r="95" spans="1:10" x14ac:dyDescent="0.3">
      <c r="A95" s="254"/>
      <c r="B95" s="261"/>
      <c r="C95" s="2" t="s">
        <v>30</v>
      </c>
      <c r="D95" s="3">
        <v>0</v>
      </c>
      <c r="E95" s="3">
        <f t="shared" si="24"/>
        <v>0</v>
      </c>
      <c r="F95" s="3">
        <f>'2019.05.31.'!G95</f>
        <v>0</v>
      </c>
      <c r="G95" s="3">
        <f>'2019.05.31.'!H95</f>
        <v>0</v>
      </c>
      <c r="H95" s="3">
        <f>'2019.05.31.'!I95</f>
        <v>0</v>
      </c>
      <c r="I95" s="3">
        <f>'2019.05.31.'!J95</f>
        <v>0</v>
      </c>
      <c r="J95" s="3">
        <f>'2019.05.31.'!K95</f>
        <v>0</v>
      </c>
    </row>
    <row r="96" spans="1:10" x14ac:dyDescent="0.3">
      <c r="A96" s="254"/>
      <c r="B96" s="261"/>
      <c r="C96" s="6" t="s">
        <v>53</v>
      </c>
      <c r="D96" s="7">
        <f>SUM(D89:D95)</f>
        <v>5318583</v>
      </c>
      <c r="E96" s="7">
        <f t="shared" ref="E96:I96" si="25">SUM(E89:E95)</f>
        <v>0</v>
      </c>
      <c r="F96" s="7">
        <f t="shared" si="25"/>
        <v>0</v>
      </c>
      <c r="G96" s="7">
        <f t="shared" si="25"/>
        <v>0</v>
      </c>
      <c r="H96" s="7">
        <f t="shared" si="25"/>
        <v>0</v>
      </c>
      <c r="I96" s="7">
        <f t="shared" si="25"/>
        <v>5318583</v>
      </c>
      <c r="J96" s="7">
        <f t="shared" ref="J96" si="26">SUM(J89:J95)</f>
        <v>2079979</v>
      </c>
    </row>
    <row r="97" spans="1:10" x14ac:dyDescent="0.3">
      <c r="A97" s="254"/>
      <c r="B97" s="261"/>
      <c r="C97" s="96" t="s">
        <v>31</v>
      </c>
      <c r="D97" s="83">
        <v>1035556</v>
      </c>
      <c r="E97" s="85">
        <f t="shared" ref="E97:E107" si="27">I97-D97-F97-G97-H97</f>
        <v>0</v>
      </c>
      <c r="F97" s="83">
        <f>'2019.05.31.'!G97</f>
        <v>0</v>
      </c>
      <c r="G97" s="83">
        <f>'2019.05.31.'!H97</f>
        <v>0</v>
      </c>
      <c r="H97" s="83">
        <f>'2019.05.31.'!I97</f>
        <v>0</v>
      </c>
      <c r="I97" s="85">
        <f>'2019.05.31.'!J97</f>
        <v>1035556</v>
      </c>
      <c r="J97" s="85">
        <f>'2019.05.31.'!K97</f>
        <v>434980</v>
      </c>
    </row>
    <row r="98" spans="1:10" x14ac:dyDescent="0.3">
      <c r="A98" s="254"/>
      <c r="B98" s="261"/>
      <c r="C98" s="2" t="s">
        <v>32</v>
      </c>
      <c r="D98" s="3">
        <v>100000</v>
      </c>
      <c r="E98" s="3">
        <f t="shared" si="27"/>
        <v>0</v>
      </c>
      <c r="F98" s="3">
        <f>'2019.05.31.'!G98</f>
        <v>0</v>
      </c>
      <c r="G98" s="3">
        <f>'2019.05.31.'!H98</f>
        <v>0</v>
      </c>
      <c r="H98" s="3">
        <f>'2019.05.31.'!I98</f>
        <v>0</v>
      </c>
      <c r="I98" s="3">
        <f>'2019.05.31.'!J98</f>
        <v>100000</v>
      </c>
      <c r="J98" s="3">
        <f>'2019.05.31.'!K98</f>
        <v>0</v>
      </c>
    </row>
    <row r="99" spans="1:10" x14ac:dyDescent="0.3">
      <c r="A99" s="254"/>
      <c r="B99" s="261"/>
      <c r="C99" s="2" t="s">
        <v>33</v>
      </c>
      <c r="D99" s="3">
        <v>100000</v>
      </c>
      <c r="E99" s="3">
        <f t="shared" si="27"/>
        <v>0</v>
      </c>
      <c r="F99" s="3">
        <f>'2019.05.31.'!G99</f>
        <v>0</v>
      </c>
      <c r="G99" s="3">
        <f>'2019.05.31.'!H99</f>
        <v>0</v>
      </c>
      <c r="H99" s="3">
        <f>'2019.05.31.'!I99</f>
        <v>0</v>
      </c>
      <c r="I99" s="3">
        <f>'2019.05.31.'!J99</f>
        <v>100000</v>
      </c>
      <c r="J99" s="3">
        <f>'2019.05.31.'!K99</f>
        <v>0</v>
      </c>
    </row>
    <row r="100" spans="1:10" x14ac:dyDescent="0.3">
      <c r="A100" s="254"/>
      <c r="B100" s="261"/>
      <c r="C100" s="2" t="s">
        <v>34</v>
      </c>
      <c r="D100" s="3">
        <v>210000</v>
      </c>
      <c r="E100" s="3">
        <f t="shared" si="27"/>
        <v>0</v>
      </c>
      <c r="F100" s="3">
        <f>'2019.05.31.'!G100</f>
        <v>0</v>
      </c>
      <c r="G100" s="3">
        <f>'2019.05.31.'!H100</f>
        <v>0</v>
      </c>
      <c r="H100" s="3">
        <f>'2019.05.31.'!I100</f>
        <v>0</v>
      </c>
      <c r="I100" s="3">
        <f>'2019.05.31.'!J100</f>
        <v>210000</v>
      </c>
      <c r="J100" s="3">
        <f>'2019.05.31.'!K100</f>
        <v>0</v>
      </c>
    </row>
    <row r="101" spans="1:10" x14ac:dyDescent="0.3">
      <c r="A101" s="254"/>
      <c r="B101" s="261"/>
      <c r="C101" s="2" t="s">
        <v>35</v>
      </c>
      <c r="D101" s="3">
        <v>110000</v>
      </c>
      <c r="E101" s="3">
        <f t="shared" si="27"/>
        <v>0</v>
      </c>
      <c r="F101" s="3">
        <f>'2019.05.31.'!G101</f>
        <v>0</v>
      </c>
      <c r="G101" s="3">
        <f>'2019.05.31.'!H101</f>
        <v>0</v>
      </c>
      <c r="H101" s="3">
        <f>'2019.05.31.'!I101</f>
        <v>0</v>
      </c>
      <c r="I101" s="3">
        <f>'2019.05.31.'!J101</f>
        <v>110000</v>
      </c>
      <c r="J101" s="3">
        <f>'2019.05.31.'!K101</f>
        <v>0</v>
      </c>
    </row>
    <row r="102" spans="1:10" x14ac:dyDescent="0.3">
      <c r="A102" s="254"/>
      <c r="B102" s="261"/>
      <c r="C102" s="2" t="s">
        <v>36</v>
      </c>
      <c r="D102" s="3">
        <v>500000</v>
      </c>
      <c r="E102" s="3">
        <f t="shared" si="27"/>
        <v>0</v>
      </c>
      <c r="F102" s="3">
        <f>'2019.05.31.'!G102</f>
        <v>0</v>
      </c>
      <c r="G102" s="3">
        <f>'2019.05.31.'!H102</f>
        <v>0</v>
      </c>
      <c r="H102" s="3">
        <f>'2019.05.31.'!I102</f>
        <v>0</v>
      </c>
      <c r="I102" s="3">
        <f>'2019.05.31.'!J102</f>
        <v>500000</v>
      </c>
      <c r="J102" s="3">
        <f>'2019.05.31.'!K102</f>
        <v>273779</v>
      </c>
    </row>
    <row r="103" spans="1:10" x14ac:dyDescent="0.3">
      <c r="A103" s="254"/>
      <c r="B103" s="261"/>
      <c r="C103" s="2" t="s">
        <v>38</v>
      </c>
      <c r="D103" s="3">
        <v>140000</v>
      </c>
      <c r="E103" s="3">
        <f t="shared" si="27"/>
        <v>0</v>
      </c>
      <c r="F103" s="3">
        <f>'2019.05.31.'!G103</f>
        <v>0</v>
      </c>
      <c r="G103" s="3">
        <f>'2019.05.31.'!H103</f>
        <v>0</v>
      </c>
      <c r="H103" s="3">
        <f>'2019.05.31.'!I103</f>
        <v>0</v>
      </c>
      <c r="I103" s="3">
        <f>'2019.05.31.'!J103</f>
        <v>140000</v>
      </c>
      <c r="J103" s="3">
        <f>'2019.05.31.'!K103</f>
        <v>0</v>
      </c>
    </row>
    <row r="104" spans="1:10" x14ac:dyDescent="0.3">
      <c r="A104" s="254"/>
      <c r="B104" s="261"/>
      <c r="C104" s="2" t="s">
        <v>40</v>
      </c>
      <c r="D104" s="3">
        <v>16800</v>
      </c>
      <c r="E104" s="3">
        <f t="shared" si="27"/>
        <v>0</v>
      </c>
      <c r="F104" s="3">
        <f>'2019.05.31.'!G104</f>
        <v>0</v>
      </c>
      <c r="G104" s="3">
        <f>'2019.05.31.'!H104</f>
        <v>0</v>
      </c>
      <c r="H104" s="3">
        <f>'2019.05.31.'!I104</f>
        <v>0</v>
      </c>
      <c r="I104" s="3">
        <f>'2019.05.31.'!J104</f>
        <v>16800</v>
      </c>
      <c r="J104" s="3">
        <f>'2019.05.31.'!K104</f>
        <v>3400</v>
      </c>
    </row>
    <row r="105" spans="1:10" x14ac:dyDescent="0.3">
      <c r="A105" s="254"/>
      <c r="B105" s="261"/>
      <c r="C105" s="2" t="s">
        <v>41</v>
      </c>
      <c r="D105" s="3">
        <v>80000</v>
      </c>
      <c r="E105" s="3">
        <f t="shared" si="27"/>
        <v>0</v>
      </c>
      <c r="F105" s="3">
        <f>'2019.05.31.'!G105</f>
        <v>0</v>
      </c>
      <c r="G105" s="3">
        <f>'2019.05.31.'!H105</f>
        <v>0</v>
      </c>
      <c r="H105" s="3">
        <f>'2019.05.31.'!I105</f>
        <v>0</v>
      </c>
      <c r="I105" s="3">
        <f>'2019.05.31.'!J105</f>
        <v>80000</v>
      </c>
      <c r="J105" s="3">
        <f>'2019.05.31.'!K105</f>
        <v>30080</v>
      </c>
    </row>
    <row r="106" spans="1:10" x14ac:dyDescent="0.3">
      <c r="A106" s="254"/>
      <c r="B106" s="261"/>
      <c r="C106" s="2" t="s">
        <v>42</v>
      </c>
      <c r="D106" s="3">
        <v>240000</v>
      </c>
      <c r="E106" s="3">
        <f t="shared" si="27"/>
        <v>0</v>
      </c>
      <c r="F106" s="3">
        <f>'2019.05.31.'!G106</f>
        <v>0</v>
      </c>
      <c r="G106" s="3">
        <f>'2019.05.31.'!H106</f>
        <v>0</v>
      </c>
      <c r="H106" s="3">
        <f>'2019.05.31.'!I106</f>
        <v>0</v>
      </c>
      <c r="I106" s="3">
        <f>'2019.05.31.'!J106</f>
        <v>240000</v>
      </c>
      <c r="J106" s="3">
        <f>'2019.05.31.'!K106</f>
        <v>71710</v>
      </c>
    </row>
    <row r="107" spans="1:10" x14ac:dyDescent="0.3">
      <c r="A107" s="254"/>
      <c r="B107" s="261"/>
      <c r="C107" s="2" t="s">
        <v>44</v>
      </c>
      <c r="D107" s="3">
        <v>200600</v>
      </c>
      <c r="E107" s="3">
        <f t="shared" si="27"/>
        <v>0</v>
      </c>
      <c r="F107" s="3">
        <f>'2019.05.31.'!G107</f>
        <v>0</v>
      </c>
      <c r="G107" s="3">
        <f>'2019.05.31.'!H107</f>
        <v>0</v>
      </c>
      <c r="H107" s="3">
        <f>'2019.05.31.'!I107</f>
        <v>0</v>
      </c>
      <c r="I107" s="3">
        <f>'2019.05.31.'!J107</f>
        <v>200600</v>
      </c>
      <c r="J107" s="3">
        <f>'2019.05.31.'!K107</f>
        <v>21810</v>
      </c>
    </row>
    <row r="108" spans="1:10" x14ac:dyDescent="0.3">
      <c r="A108" s="254"/>
      <c r="B108" s="261"/>
      <c r="C108" s="6" t="s">
        <v>49</v>
      </c>
      <c r="D108" s="7">
        <f>SUM(D98:D107)</f>
        <v>1697400</v>
      </c>
      <c r="E108" s="7">
        <f t="shared" ref="E108:I108" si="28">SUM(E98:E107)</f>
        <v>0</v>
      </c>
      <c r="F108" s="7">
        <f t="shared" si="28"/>
        <v>0</v>
      </c>
      <c r="G108" s="7">
        <f t="shared" si="28"/>
        <v>0</v>
      </c>
      <c r="H108" s="7">
        <f t="shared" si="28"/>
        <v>0</v>
      </c>
      <c r="I108" s="7">
        <f t="shared" si="28"/>
        <v>1697400</v>
      </c>
      <c r="J108" s="7">
        <f t="shared" ref="J108" si="29">SUM(J98:J107)</f>
        <v>400779</v>
      </c>
    </row>
    <row r="109" spans="1:10" x14ac:dyDescent="0.3">
      <c r="A109" s="262" t="s">
        <v>62</v>
      </c>
      <c r="B109" s="264" t="s">
        <v>23</v>
      </c>
      <c r="C109" s="15" t="s">
        <v>29</v>
      </c>
      <c r="D109" s="24">
        <v>111600</v>
      </c>
      <c r="E109" s="3">
        <f t="shared" ref="E109:E112" si="30">I109-D109-F109-G109-H109</f>
        <v>0</v>
      </c>
      <c r="F109" s="11">
        <f>'2019.05.31.'!G109</f>
        <v>0</v>
      </c>
      <c r="G109" s="11">
        <f>'2019.05.31.'!H109</f>
        <v>0</v>
      </c>
      <c r="H109" s="11">
        <f>'2019.05.31.'!I109</f>
        <v>0</v>
      </c>
      <c r="I109" s="3">
        <f>'2019.05.31.'!J109</f>
        <v>111600</v>
      </c>
      <c r="J109" s="3">
        <f>'2019.05.31.'!K109</f>
        <v>30500</v>
      </c>
    </row>
    <row r="110" spans="1:10" x14ac:dyDescent="0.3">
      <c r="A110" s="263"/>
      <c r="B110" s="265"/>
      <c r="C110" s="15" t="s">
        <v>31</v>
      </c>
      <c r="D110" s="24">
        <v>20739</v>
      </c>
      <c r="E110" s="3">
        <f t="shared" si="30"/>
        <v>0</v>
      </c>
      <c r="F110" s="11">
        <f>'2019.05.31.'!G110</f>
        <v>0</v>
      </c>
      <c r="G110" s="11">
        <f>'2019.05.31.'!H110</f>
        <v>0</v>
      </c>
      <c r="H110" s="11">
        <f>'2019.05.31.'!I110</f>
        <v>0</v>
      </c>
      <c r="I110" s="3">
        <f>'2019.05.31.'!J110</f>
        <v>20739</v>
      </c>
      <c r="J110" s="3">
        <f>'2019.05.31.'!K110</f>
        <v>5945</v>
      </c>
    </row>
    <row r="111" spans="1:10" x14ac:dyDescent="0.3">
      <c r="A111" s="262" t="s">
        <v>63</v>
      </c>
      <c r="B111" s="264" t="s">
        <v>23</v>
      </c>
      <c r="C111" s="15" t="s">
        <v>24</v>
      </c>
      <c r="D111" s="24">
        <v>1460272</v>
      </c>
      <c r="E111" s="3">
        <f t="shared" si="30"/>
        <v>0</v>
      </c>
      <c r="F111" s="11">
        <f>'2019.05.31.'!G111</f>
        <v>0</v>
      </c>
      <c r="G111" s="11">
        <f>'2019.05.31.'!H111</f>
        <v>0</v>
      </c>
      <c r="H111" s="11">
        <f>'2019.05.31.'!I111</f>
        <v>0</v>
      </c>
      <c r="I111" s="3">
        <f>'2019.05.31.'!J111</f>
        <v>1460272</v>
      </c>
      <c r="J111" s="3">
        <f>'2019.05.31.'!K111</f>
        <v>623301</v>
      </c>
    </row>
    <row r="112" spans="1:10" x14ac:dyDescent="0.3">
      <c r="A112" s="263"/>
      <c r="B112" s="265"/>
      <c r="C112" s="15" t="s">
        <v>31</v>
      </c>
      <c r="D112" s="24">
        <v>272168</v>
      </c>
      <c r="E112" s="3">
        <f t="shared" si="30"/>
        <v>0</v>
      </c>
      <c r="F112" s="11">
        <f>'2019.05.31.'!G112</f>
        <v>0</v>
      </c>
      <c r="G112" s="11">
        <f>'2019.05.31.'!H112</f>
        <v>0</v>
      </c>
      <c r="H112" s="11">
        <f>'2019.05.31.'!I112</f>
        <v>0</v>
      </c>
      <c r="I112" s="3">
        <f>'2019.05.31.'!J112</f>
        <v>272168</v>
      </c>
      <c r="J112" s="3">
        <f>'2019.05.31.'!K112</f>
        <v>121543</v>
      </c>
    </row>
    <row r="113" spans="1:10" s="92" customFormat="1" ht="19.5" customHeight="1" x14ac:dyDescent="0.3">
      <c r="A113" s="341" t="s">
        <v>77</v>
      </c>
      <c r="B113" s="342"/>
      <c r="C113" s="343"/>
      <c r="D113" s="91">
        <f>SUM(D96+D97+D108+D109+D110+D111+D112)</f>
        <v>9916318</v>
      </c>
      <c r="E113" s="91">
        <f t="shared" ref="E113:I113" si="31">SUM(E96+E97+E108+E109+E110+E111+E112)</f>
        <v>0</v>
      </c>
      <c r="F113" s="91">
        <f t="shared" si="31"/>
        <v>0</v>
      </c>
      <c r="G113" s="91">
        <f t="shared" si="31"/>
        <v>0</v>
      </c>
      <c r="H113" s="91">
        <f t="shared" si="31"/>
        <v>0</v>
      </c>
      <c r="I113" s="91">
        <f t="shared" si="31"/>
        <v>9916318</v>
      </c>
      <c r="J113" s="91">
        <f t="shared" ref="J113" si="32">SUM(J96+J97+J108+J109+J110+J111+J112)</f>
        <v>3697027</v>
      </c>
    </row>
    <row r="114" spans="1:10" x14ac:dyDescent="0.3">
      <c r="A114" s="254" t="s">
        <v>13</v>
      </c>
      <c r="B114" s="261" t="s">
        <v>23</v>
      </c>
      <c r="C114" s="2" t="s">
        <v>24</v>
      </c>
      <c r="D114" s="3">
        <v>4871210</v>
      </c>
      <c r="E114" s="3">
        <f t="shared" ref="E114:E119" si="33">I114-D114-F114-G114-H114</f>
        <v>0</v>
      </c>
      <c r="F114" s="3">
        <f>'2019.05.31.'!G114</f>
        <v>0</v>
      </c>
      <c r="G114" s="3">
        <f>'2019.05.31.'!H114</f>
        <v>14018</v>
      </c>
      <c r="H114" s="3">
        <f>'2019.05.31.'!I114</f>
        <v>0</v>
      </c>
      <c r="I114" s="3">
        <f>'2019.05.31.'!J114</f>
        <v>4885228</v>
      </c>
      <c r="J114" s="3">
        <f>'2019.05.31.'!K114</f>
        <v>1970501</v>
      </c>
    </row>
    <row r="115" spans="1:10" x14ac:dyDescent="0.3">
      <c r="A115" s="254"/>
      <c r="B115" s="261"/>
      <c r="C115" s="2" t="s">
        <v>25</v>
      </c>
      <c r="D115" s="3">
        <v>200000</v>
      </c>
      <c r="E115" s="3">
        <f t="shared" si="33"/>
        <v>0</v>
      </c>
      <c r="F115" s="3">
        <f>'2019.05.31.'!G115</f>
        <v>0</v>
      </c>
      <c r="G115" s="3">
        <f>'2019.05.31.'!H115</f>
        <v>0</v>
      </c>
      <c r="H115" s="3">
        <f>'2019.05.31.'!I115</f>
        <v>0</v>
      </c>
      <c r="I115" s="3">
        <f>'2019.05.31.'!J115</f>
        <v>200000</v>
      </c>
      <c r="J115" s="3">
        <f>'2019.05.31.'!K115</f>
        <v>100000</v>
      </c>
    </row>
    <row r="116" spans="1:10" x14ac:dyDescent="0.3">
      <c r="A116" s="254"/>
      <c r="B116" s="261"/>
      <c r="C116" s="2" t="s">
        <v>26</v>
      </c>
      <c r="D116" s="3">
        <v>10000</v>
      </c>
      <c r="E116" s="3">
        <f t="shared" si="33"/>
        <v>0</v>
      </c>
      <c r="F116" s="3">
        <f>'2019.05.31.'!G116</f>
        <v>0</v>
      </c>
      <c r="G116" s="3">
        <f>'2019.05.31.'!H116</f>
        <v>0</v>
      </c>
      <c r="H116" s="3">
        <f>'2019.05.31.'!I116</f>
        <v>0</v>
      </c>
      <c r="I116" s="3">
        <f>'2019.05.31.'!J116</f>
        <v>10000</v>
      </c>
      <c r="J116" s="3">
        <f>'2019.05.31.'!K116</f>
        <v>0</v>
      </c>
    </row>
    <row r="117" spans="1:10" x14ac:dyDescent="0.3">
      <c r="A117" s="254"/>
      <c r="B117" s="261"/>
      <c r="C117" s="2" t="s">
        <v>28</v>
      </c>
      <c r="D117" s="3">
        <v>24000</v>
      </c>
      <c r="E117" s="3">
        <f t="shared" si="33"/>
        <v>0</v>
      </c>
      <c r="F117" s="3">
        <f>'2019.05.31.'!G117</f>
        <v>0</v>
      </c>
      <c r="G117" s="3">
        <f>'2019.05.31.'!H117</f>
        <v>0</v>
      </c>
      <c r="H117" s="3">
        <f>'2019.05.31.'!I117</f>
        <v>0</v>
      </c>
      <c r="I117" s="3">
        <f>'2019.05.31.'!J117</f>
        <v>24000</v>
      </c>
      <c r="J117" s="3">
        <f>'2019.05.31.'!K117</f>
        <v>12000</v>
      </c>
    </row>
    <row r="118" spans="1:10" x14ac:dyDescent="0.3">
      <c r="A118" s="254"/>
      <c r="B118" s="261"/>
      <c r="C118" s="2" t="s">
        <v>29</v>
      </c>
      <c r="D118" s="3">
        <v>75000</v>
      </c>
      <c r="E118" s="3">
        <f t="shared" si="33"/>
        <v>0</v>
      </c>
      <c r="F118" s="3">
        <f>'2019.05.31.'!G118</f>
        <v>0</v>
      </c>
      <c r="G118" s="3">
        <f>'2019.05.31.'!H118</f>
        <v>0</v>
      </c>
      <c r="H118" s="3">
        <f>'2019.05.31.'!I118</f>
        <v>0</v>
      </c>
      <c r="I118" s="3">
        <f>'2019.05.31.'!J118</f>
        <v>75000</v>
      </c>
      <c r="J118" s="3">
        <f>'2019.05.31.'!K118</f>
        <v>0</v>
      </c>
    </row>
    <row r="119" spans="1:10" x14ac:dyDescent="0.3">
      <c r="A119" s="254"/>
      <c r="B119" s="261"/>
      <c r="C119" s="2" t="s">
        <v>30</v>
      </c>
      <c r="D119" s="3">
        <v>0</v>
      </c>
      <c r="E119" s="3">
        <f t="shared" si="33"/>
        <v>0</v>
      </c>
      <c r="F119" s="3">
        <f>'2019.05.31.'!G119</f>
        <v>0</v>
      </c>
      <c r="G119" s="3">
        <f>'2019.05.31.'!H119</f>
        <v>0</v>
      </c>
      <c r="H119" s="3">
        <f>'2019.05.31.'!I119</f>
        <v>0</v>
      </c>
      <c r="I119" s="3">
        <f>'2019.05.31.'!J119</f>
        <v>0</v>
      </c>
      <c r="J119" s="3">
        <f>'2019.05.31.'!K119</f>
        <v>0</v>
      </c>
    </row>
    <row r="120" spans="1:10" x14ac:dyDescent="0.3">
      <c r="A120" s="254"/>
      <c r="B120" s="261"/>
      <c r="C120" s="6" t="s">
        <v>53</v>
      </c>
      <c r="D120" s="7">
        <f>SUM(D114:D119)</f>
        <v>5180210</v>
      </c>
      <c r="E120" s="7">
        <f t="shared" ref="E120:I120" si="34">SUM(E114:E119)</f>
        <v>0</v>
      </c>
      <c r="F120" s="7">
        <f t="shared" si="34"/>
        <v>0</v>
      </c>
      <c r="G120" s="7">
        <f t="shared" si="34"/>
        <v>14018</v>
      </c>
      <c r="H120" s="7">
        <f t="shared" si="34"/>
        <v>0</v>
      </c>
      <c r="I120" s="7">
        <f t="shared" si="34"/>
        <v>5194228</v>
      </c>
      <c r="J120" s="7">
        <f t="shared" ref="J120" si="35">SUM(J114:J119)</f>
        <v>2082501</v>
      </c>
    </row>
    <row r="121" spans="1:10" x14ac:dyDescent="0.3">
      <c r="A121" s="254"/>
      <c r="B121" s="261"/>
      <c r="C121" s="96" t="s">
        <v>31</v>
      </c>
      <c r="D121" s="83">
        <v>1046402</v>
      </c>
      <c r="E121" s="85">
        <f t="shared" ref="E121:E129" si="36">I121-D121-F121-G121-H121</f>
        <v>0</v>
      </c>
      <c r="F121" s="83">
        <f>'2019.05.31.'!G121</f>
        <v>0</v>
      </c>
      <c r="G121" s="83">
        <f>'2019.05.31.'!H121</f>
        <v>2733</v>
      </c>
      <c r="H121" s="83">
        <f>'2019.05.31.'!I121</f>
        <v>0</v>
      </c>
      <c r="I121" s="85">
        <f>'2019.05.31.'!J121</f>
        <v>1049135</v>
      </c>
      <c r="J121" s="85">
        <f>'2019.05.31.'!K121</f>
        <v>444631</v>
      </c>
    </row>
    <row r="122" spans="1:10" x14ac:dyDescent="0.3">
      <c r="A122" s="254"/>
      <c r="B122" s="261"/>
      <c r="C122" s="2" t="s">
        <v>32</v>
      </c>
      <c r="D122" s="3">
        <v>50000</v>
      </c>
      <c r="E122" s="3">
        <f t="shared" si="36"/>
        <v>0</v>
      </c>
      <c r="F122" s="3">
        <f>'2019.05.31.'!G122</f>
        <v>0</v>
      </c>
      <c r="G122" s="3">
        <f>'2019.05.31.'!H122</f>
        <v>0</v>
      </c>
      <c r="H122" s="3">
        <f>'2019.05.31.'!I122</f>
        <v>0</v>
      </c>
      <c r="I122" s="3">
        <f>'2019.05.31.'!J122</f>
        <v>50000</v>
      </c>
      <c r="J122" s="3">
        <f>'2019.05.31.'!K122</f>
        <v>0</v>
      </c>
    </row>
    <row r="123" spans="1:10" x14ac:dyDescent="0.3">
      <c r="A123" s="254"/>
      <c r="B123" s="261"/>
      <c r="C123" s="2" t="s">
        <v>33</v>
      </c>
      <c r="D123" s="3">
        <v>100000</v>
      </c>
      <c r="E123" s="3">
        <f t="shared" si="36"/>
        <v>0</v>
      </c>
      <c r="F123" s="3">
        <f>'2019.05.31.'!G123</f>
        <v>0</v>
      </c>
      <c r="G123" s="3">
        <f>'2019.05.31.'!H123</f>
        <v>0</v>
      </c>
      <c r="H123" s="3">
        <f>'2019.05.31.'!I123</f>
        <v>0</v>
      </c>
      <c r="I123" s="3">
        <f>'2019.05.31.'!J123</f>
        <v>100000</v>
      </c>
      <c r="J123" s="3">
        <f>'2019.05.31.'!K123</f>
        <v>0</v>
      </c>
    </row>
    <row r="124" spans="1:10" x14ac:dyDescent="0.3">
      <c r="A124" s="254"/>
      <c r="B124" s="261"/>
      <c r="C124" s="2" t="s">
        <v>34</v>
      </c>
      <c r="D124" s="3">
        <v>150000</v>
      </c>
      <c r="E124" s="3">
        <f t="shared" si="36"/>
        <v>-34000</v>
      </c>
      <c r="F124" s="3">
        <f>'2019.05.31.'!G124</f>
        <v>0</v>
      </c>
      <c r="G124" s="3">
        <f>'2019.05.31.'!H124</f>
        <v>0</v>
      </c>
      <c r="H124" s="3">
        <f>'2019.05.31.'!I124</f>
        <v>0</v>
      </c>
      <c r="I124" s="3">
        <f>'2019.05.31.'!J124</f>
        <v>116000</v>
      </c>
      <c r="J124" s="3">
        <f>'2019.05.31.'!K124</f>
        <v>0</v>
      </c>
    </row>
    <row r="125" spans="1:10" x14ac:dyDescent="0.3">
      <c r="A125" s="254"/>
      <c r="B125" s="261"/>
      <c r="C125" s="2" t="s">
        <v>38</v>
      </c>
      <c r="D125" s="3">
        <v>50000</v>
      </c>
      <c r="E125" s="3">
        <f t="shared" si="36"/>
        <v>0</v>
      </c>
      <c r="F125" s="3">
        <f>'2019.05.31.'!G125</f>
        <v>0</v>
      </c>
      <c r="G125" s="3">
        <f>'2019.05.31.'!H125</f>
        <v>0</v>
      </c>
      <c r="H125" s="3">
        <f>'2019.05.31.'!I125</f>
        <v>0</v>
      </c>
      <c r="I125" s="3">
        <f>'2019.05.31.'!J125</f>
        <v>50000</v>
      </c>
      <c r="J125" s="3">
        <f>'2019.05.31.'!K125</f>
        <v>0</v>
      </c>
    </row>
    <row r="126" spans="1:10" x14ac:dyDescent="0.3">
      <c r="A126" s="254"/>
      <c r="B126" s="261"/>
      <c r="C126" s="2" t="s">
        <v>40</v>
      </c>
      <c r="D126" s="3">
        <v>16800</v>
      </c>
      <c r="E126" s="3">
        <f t="shared" si="36"/>
        <v>0</v>
      </c>
      <c r="F126" s="3">
        <f>'2019.05.31.'!G126</f>
        <v>0</v>
      </c>
      <c r="G126" s="3">
        <f>'2019.05.31.'!H126</f>
        <v>0</v>
      </c>
      <c r="H126" s="3">
        <f>'2019.05.31.'!I126</f>
        <v>0</v>
      </c>
      <c r="I126" s="3">
        <f>'2019.05.31.'!J126</f>
        <v>16800</v>
      </c>
      <c r="J126" s="3">
        <f>'2019.05.31.'!K126</f>
        <v>3400</v>
      </c>
    </row>
    <row r="127" spans="1:10" x14ac:dyDescent="0.3">
      <c r="A127" s="254"/>
      <c r="B127" s="261"/>
      <c r="C127" s="2" t="s">
        <v>41</v>
      </c>
      <c r="D127" s="3">
        <v>0</v>
      </c>
      <c r="E127" s="3">
        <f t="shared" si="36"/>
        <v>34000</v>
      </c>
      <c r="F127" s="3">
        <f>'2019.05.31.'!G127</f>
        <v>0</v>
      </c>
      <c r="G127" s="3">
        <f>'2019.05.31.'!H127</f>
        <v>0</v>
      </c>
      <c r="H127" s="3">
        <f>'2019.05.31.'!I127</f>
        <v>0</v>
      </c>
      <c r="I127" s="3">
        <f>'2019.05.31.'!J127</f>
        <v>34000</v>
      </c>
      <c r="J127" s="3">
        <f>'2019.05.31.'!K127</f>
        <v>30080</v>
      </c>
    </row>
    <row r="128" spans="1:10" x14ac:dyDescent="0.3">
      <c r="A128" s="254"/>
      <c r="B128" s="261"/>
      <c r="C128" s="2" t="s">
        <v>42</v>
      </c>
      <c r="D128" s="3">
        <v>240000</v>
      </c>
      <c r="E128" s="3">
        <f t="shared" si="36"/>
        <v>0</v>
      </c>
      <c r="F128" s="3">
        <f>'2019.05.31.'!G128</f>
        <v>0</v>
      </c>
      <c r="G128" s="3">
        <f>'2019.05.31.'!H128</f>
        <v>0</v>
      </c>
      <c r="H128" s="3">
        <f>'2019.05.31.'!I128</f>
        <v>0</v>
      </c>
      <c r="I128" s="3">
        <f>'2019.05.31.'!J128</f>
        <v>240000</v>
      </c>
      <c r="J128" s="3">
        <f>'2019.05.31.'!K128</f>
        <v>61480</v>
      </c>
    </row>
    <row r="129" spans="1:10" x14ac:dyDescent="0.3">
      <c r="A129" s="254"/>
      <c r="B129" s="261"/>
      <c r="C129" s="2" t="s">
        <v>44</v>
      </c>
      <c r="D129" s="3">
        <v>94500</v>
      </c>
      <c r="E129" s="3">
        <f t="shared" si="36"/>
        <v>0</v>
      </c>
      <c r="F129" s="3">
        <f>'2019.05.31.'!G129</f>
        <v>0</v>
      </c>
      <c r="G129" s="3">
        <f>'2019.05.31.'!H129</f>
        <v>0</v>
      </c>
      <c r="H129" s="3">
        <f>'2019.05.31.'!I129</f>
        <v>0</v>
      </c>
      <c r="I129" s="3">
        <f>'2019.05.31.'!J129</f>
        <v>94500</v>
      </c>
      <c r="J129" s="3">
        <f>'2019.05.31.'!K129</f>
        <v>8121</v>
      </c>
    </row>
    <row r="130" spans="1:10" x14ac:dyDescent="0.3">
      <c r="A130" s="254"/>
      <c r="B130" s="261"/>
      <c r="C130" s="6" t="s">
        <v>49</v>
      </c>
      <c r="D130" s="7">
        <f>SUM(D122:D129)</f>
        <v>701300</v>
      </c>
      <c r="E130" s="7">
        <f t="shared" ref="E130:I130" si="37">SUM(E122:E129)</f>
        <v>0</v>
      </c>
      <c r="F130" s="7">
        <f t="shared" si="37"/>
        <v>0</v>
      </c>
      <c r="G130" s="7">
        <f t="shared" si="37"/>
        <v>0</v>
      </c>
      <c r="H130" s="7">
        <f t="shared" si="37"/>
        <v>0</v>
      </c>
      <c r="I130" s="7">
        <f t="shared" si="37"/>
        <v>701300</v>
      </c>
      <c r="J130" s="7">
        <f t="shared" ref="J130" si="38">SUM(J122:J129)</f>
        <v>103081</v>
      </c>
    </row>
    <row r="131" spans="1:10" x14ac:dyDescent="0.3">
      <c r="A131" s="262" t="s">
        <v>64</v>
      </c>
      <c r="B131" s="264" t="s">
        <v>23</v>
      </c>
      <c r="C131" s="15" t="s">
        <v>29</v>
      </c>
      <c r="D131" s="24">
        <v>39600</v>
      </c>
      <c r="E131" s="3">
        <f t="shared" ref="E131:E134" si="39">I131-D131-F131-G131-H131</f>
        <v>0</v>
      </c>
      <c r="F131" s="11">
        <f>'2019.05.31.'!G131</f>
        <v>0</v>
      </c>
      <c r="G131" s="11">
        <f>'2019.05.31.'!H131</f>
        <v>0</v>
      </c>
      <c r="H131" s="11">
        <f>'2019.05.31.'!I131</f>
        <v>0</v>
      </c>
      <c r="I131" s="3">
        <f>'2019.05.31.'!J131</f>
        <v>39600</v>
      </c>
      <c r="J131" s="3">
        <f>'2019.05.31.'!K131</f>
        <v>16500</v>
      </c>
    </row>
    <row r="132" spans="1:10" x14ac:dyDescent="0.3">
      <c r="A132" s="263"/>
      <c r="B132" s="265"/>
      <c r="C132" s="15" t="s">
        <v>31</v>
      </c>
      <c r="D132" s="24">
        <v>7359</v>
      </c>
      <c r="E132" s="3">
        <f t="shared" si="39"/>
        <v>0</v>
      </c>
      <c r="F132" s="11">
        <f>'2019.05.31.'!G132</f>
        <v>0</v>
      </c>
      <c r="G132" s="11">
        <f>'2019.05.31.'!H132</f>
        <v>0</v>
      </c>
      <c r="H132" s="11">
        <f>'2019.05.31.'!I132</f>
        <v>0</v>
      </c>
      <c r="I132" s="3">
        <f>'2019.05.31.'!J132</f>
        <v>7359</v>
      </c>
      <c r="J132" s="3">
        <f>'2019.05.31.'!K132</f>
        <v>3218</v>
      </c>
    </row>
    <row r="133" spans="1:10" x14ac:dyDescent="0.3">
      <c r="A133" s="262" t="s">
        <v>65</v>
      </c>
      <c r="B133" s="264" t="s">
        <v>23</v>
      </c>
      <c r="C133" s="15" t="s">
        <v>24</v>
      </c>
      <c r="D133" s="24">
        <v>1357158</v>
      </c>
      <c r="E133" s="3">
        <f t="shared" si="39"/>
        <v>0</v>
      </c>
      <c r="F133" s="11">
        <f>'2019.05.31.'!G133</f>
        <v>0</v>
      </c>
      <c r="G133" s="11">
        <f>'2019.05.31.'!H133</f>
        <v>0</v>
      </c>
      <c r="H133" s="11">
        <f>'2019.05.31.'!I133</f>
        <v>0</v>
      </c>
      <c r="I133" s="3">
        <f>'2019.05.31.'!J133</f>
        <v>1357158</v>
      </c>
      <c r="J133" s="3">
        <f>'2019.05.31.'!K133</f>
        <v>565930</v>
      </c>
    </row>
    <row r="134" spans="1:10" x14ac:dyDescent="0.3">
      <c r="A134" s="263"/>
      <c r="B134" s="265"/>
      <c r="C134" s="15" t="s">
        <v>31</v>
      </c>
      <c r="D134" s="24">
        <v>253327</v>
      </c>
      <c r="E134" s="3">
        <f t="shared" si="39"/>
        <v>0</v>
      </c>
      <c r="F134" s="11">
        <f>'2019.05.31.'!G134</f>
        <v>0</v>
      </c>
      <c r="G134" s="11">
        <f>'2019.05.31.'!H134</f>
        <v>0</v>
      </c>
      <c r="H134" s="11">
        <f>'2019.05.31.'!I134</f>
        <v>0</v>
      </c>
      <c r="I134" s="3">
        <f>'2019.05.31.'!J134</f>
        <v>253327</v>
      </c>
      <c r="J134" s="3">
        <f>'2019.05.31.'!K134</f>
        <v>110355</v>
      </c>
    </row>
    <row r="135" spans="1:10" s="92" customFormat="1" ht="19.5" customHeight="1" x14ac:dyDescent="0.3">
      <c r="A135" s="341" t="s">
        <v>78</v>
      </c>
      <c r="B135" s="342"/>
      <c r="C135" s="343"/>
      <c r="D135" s="91">
        <f>SUM(D120+D121+D130+D131+D132+D133+D134)</f>
        <v>8585356</v>
      </c>
      <c r="E135" s="91">
        <f t="shared" ref="E135:I135" si="40">SUM(E120+E121+E130+E131+E132+E133+E134)</f>
        <v>0</v>
      </c>
      <c r="F135" s="91">
        <f t="shared" si="40"/>
        <v>0</v>
      </c>
      <c r="G135" s="91">
        <f t="shared" si="40"/>
        <v>16751</v>
      </c>
      <c r="H135" s="91">
        <f t="shared" si="40"/>
        <v>0</v>
      </c>
      <c r="I135" s="91">
        <f t="shared" si="40"/>
        <v>8602107</v>
      </c>
      <c r="J135" s="91">
        <f t="shared" ref="J135" si="41">SUM(J120+J121+J130+J131+J132+J133+J134)</f>
        <v>3326216</v>
      </c>
    </row>
    <row r="136" spans="1:10" x14ac:dyDescent="0.3">
      <c r="A136" s="254" t="s">
        <v>14</v>
      </c>
      <c r="B136" s="261" t="s">
        <v>23</v>
      </c>
      <c r="C136" s="2" t="s">
        <v>24</v>
      </c>
      <c r="D136" s="3">
        <v>4756797</v>
      </c>
      <c r="E136" s="3">
        <f t="shared" ref="E136:E142" si="42">I136-D136-F136-G136-H136</f>
        <v>-77789</v>
      </c>
      <c r="F136" s="3">
        <f>'2019.05.31.'!G136</f>
        <v>0</v>
      </c>
      <c r="G136" s="3">
        <f>'2019.05.31.'!H136</f>
        <v>9580</v>
      </c>
      <c r="H136" s="3">
        <f>'2019.05.31.'!I136</f>
        <v>0</v>
      </c>
      <c r="I136" s="3">
        <f>'2019.05.31.'!J136</f>
        <v>4688588</v>
      </c>
      <c r="J136" s="3">
        <f>'2019.05.31.'!K136</f>
        <v>1822094</v>
      </c>
    </row>
    <row r="137" spans="1:10" x14ac:dyDescent="0.3">
      <c r="A137" s="254"/>
      <c r="B137" s="261"/>
      <c r="C137" s="2" t="s">
        <v>25</v>
      </c>
      <c r="D137" s="3">
        <v>200000</v>
      </c>
      <c r="E137" s="3">
        <f t="shared" si="42"/>
        <v>0</v>
      </c>
      <c r="F137" s="3">
        <f>'2019.05.31.'!G137</f>
        <v>0</v>
      </c>
      <c r="G137" s="3">
        <f>'2019.05.31.'!H137</f>
        <v>0</v>
      </c>
      <c r="H137" s="3">
        <f>'2019.05.31.'!I137</f>
        <v>0</v>
      </c>
      <c r="I137" s="3">
        <f>'2019.05.31.'!J137</f>
        <v>200000</v>
      </c>
      <c r="J137" s="3">
        <f>'2019.05.31.'!K137</f>
        <v>100000</v>
      </c>
    </row>
    <row r="138" spans="1:10" x14ac:dyDescent="0.3">
      <c r="A138" s="254"/>
      <c r="B138" s="261"/>
      <c r="C138" s="2" t="s">
        <v>26</v>
      </c>
      <c r="D138" s="3">
        <v>10000</v>
      </c>
      <c r="E138" s="3">
        <f t="shared" si="42"/>
        <v>0</v>
      </c>
      <c r="F138" s="3">
        <f>'2019.05.31.'!G138</f>
        <v>0</v>
      </c>
      <c r="G138" s="3">
        <f>'2019.05.31.'!H138</f>
        <v>0</v>
      </c>
      <c r="H138" s="3">
        <f>'2019.05.31.'!I138</f>
        <v>0</v>
      </c>
      <c r="I138" s="3">
        <f>'2019.05.31.'!J138</f>
        <v>10000</v>
      </c>
      <c r="J138" s="3">
        <f>'2019.05.31.'!K138</f>
        <v>0</v>
      </c>
    </row>
    <row r="139" spans="1:10" x14ac:dyDescent="0.3">
      <c r="A139" s="254"/>
      <c r="B139" s="261"/>
      <c r="C139" s="2" t="s">
        <v>27</v>
      </c>
      <c r="D139" s="3">
        <v>255000</v>
      </c>
      <c r="E139" s="3">
        <f t="shared" si="42"/>
        <v>0</v>
      </c>
      <c r="F139" s="3">
        <f>'2019.05.31.'!G139</f>
        <v>0</v>
      </c>
      <c r="G139" s="3">
        <f>'2019.05.31.'!H139</f>
        <v>0</v>
      </c>
      <c r="H139" s="3">
        <f>'2019.05.31.'!I139</f>
        <v>0</v>
      </c>
      <c r="I139" s="3">
        <f>'2019.05.31.'!J139</f>
        <v>255000</v>
      </c>
      <c r="J139" s="3">
        <f>'2019.05.31.'!K139</f>
        <v>70096</v>
      </c>
    </row>
    <row r="140" spans="1:10" x14ac:dyDescent="0.3">
      <c r="A140" s="254"/>
      <c r="B140" s="261"/>
      <c r="C140" s="2" t="s">
        <v>28</v>
      </c>
      <c r="D140" s="3">
        <v>24000</v>
      </c>
      <c r="E140" s="3">
        <f t="shared" si="42"/>
        <v>0</v>
      </c>
      <c r="F140" s="3">
        <f>'2019.05.31.'!G140</f>
        <v>0</v>
      </c>
      <c r="G140" s="3">
        <f>'2019.05.31.'!H140</f>
        <v>0</v>
      </c>
      <c r="H140" s="3">
        <f>'2019.05.31.'!I140</f>
        <v>0</v>
      </c>
      <c r="I140" s="3">
        <f>'2019.05.31.'!J140</f>
        <v>24000</v>
      </c>
      <c r="J140" s="3">
        <f>'2019.05.31.'!K140</f>
        <v>12000</v>
      </c>
    </row>
    <row r="141" spans="1:10" x14ac:dyDescent="0.3">
      <c r="A141" s="254"/>
      <c r="B141" s="261"/>
      <c r="C141" s="2" t="s">
        <v>29</v>
      </c>
      <c r="D141" s="3">
        <v>0</v>
      </c>
      <c r="E141" s="3">
        <f t="shared" si="42"/>
        <v>77789</v>
      </c>
      <c r="F141" s="3">
        <f>'2019.05.31.'!G141</f>
        <v>0</v>
      </c>
      <c r="G141" s="3">
        <f>'2019.05.31.'!H141</f>
        <v>0</v>
      </c>
      <c r="H141" s="3">
        <f>'2019.05.31.'!I141</f>
        <v>0</v>
      </c>
      <c r="I141" s="3">
        <f>'2019.05.31.'!J141</f>
        <v>77789</v>
      </c>
      <c r="J141" s="3">
        <f>'2019.05.31.'!K141</f>
        <v>77789</v>
      </c>
    </row>
    <row r="142" spans="1:10" x14ac:dyDescent="0.3">
      <c r="A142" s="254"/>
      <c r="B142" s="261"/>
      <c r="C142" s="2" t="s">
        <v>30</v>
      </c>
      <c r="D142" s="3">
        <v>0</v>
      </c>
      <c r="E142" s="3">
        <f t="shared" si="42"/>
        <v>0</v>
      </c>
      <c r="F142" s="3">
        <f>'2019.05.31.'!G142</f>
        <v>0</v>
      </c>
      <c r="G142" s="3">
        <f>'2019.05.31.'!H142</f>
        <v>0</v>
      </c>
      <c r="H142" s="3">
        <f>'2019.05.31.'!I142</f>
        <v>0</v>
      </c>
      <c r="I142" s="3">
        <f>'2019.05.31.'!J142</f>
        <v>0</v>
      </c>
      <c r="J142" s="3">
        <f>'2019.05.31.'!K142</f>
        <v>0</v>
      </c>
    </row>
    <row r="143" spans="1:10" x14ac:dyDescent="0.3">
      <c r="A143" s="254"/>
      <c r="B143" s="261"/>
      <c r="C143" s="6" t="s">
        <v>53</v>
      </c>
      <c r="D143" s="7">
        <f>SUM(D136:D142)</f>
        <v>5245797</v>
      </c>
      <c r="E143" s="7">
        <f t="shared" ref="E143:I143" si="43">SUM(E136:E142)</f>
        <v>0</v>
      </c>
      <c r="F143" s="7">
        <f t="shared" si="43"/>
        <v>0</v>
      </c>
      <c r="G143" s="7">
        <f t="shared" si="43"/>
        <v>9580</v>
      </c>
      <c r="H143" s="7">
        <f t="shared" si="43"/>
        <v>0</v>
      </c>
      <c r="I143" s="7">
        <f t="shared" si="43"/>
        <v>5255377</v>
      </c>
      <c r="J143" s="7">
        <f t="shared" ref="J143" si="44">SUM(J136:J142)</f>
        <v>2081979</v>
      </c>
    </row>
    <row r="144" spans="1:10" x14ac:dyDescent="0.3">
      <c r="A144" s="254"/>
      <c r="B144" s="261"/>
      <c r="C144" s="96" t="s">
        <v>31</v>
      </c>
      <c r="D144" s="83">
        <v>1025121</v>
      </c>
      <c r="E144" s="85">
        <f t="shared" ref="E144:E152" si="45">I144-D144-F144-G144-H144</f>
        <v>0</v>
      </c>
      <c r="F144" s="83">
        <f>'2019.05.31.'!G144</f>
        <v>0</v>
      </c>
      <c r="G144" s="83">
        <f>'2019.05.31.'!H144</f>
        <v>1868</v>
      </c>
      <c r="H144" s="83">
        <f>'2019.05.31.'!I144</f>
        <v>0</v>
      </c>
      <c r="I144" s="85">
        <f>'2019.05.31.'!J144</f>
        <v>1026989</v>
      </c>
      <c r="J144" s="85">
        <f>'2019.05.31.'!K144</f>
        <v>430860</v>
      </c>
    </row>
    <row r="145" spans="1:10" x14ac:dyDescent="0.3">
      <c r="A145" s="254"/>
      <c r="B145" s="261"/>
      <c r="C145" s="2" t="s">
        <v>32</v>
      </c>
      <c r="D145" s="3">
        <v>80000</v>
      </c>
      <c r="E145" s="3">
        <f t="shared" si="45"/>
        <v>0</v>
      </c>
      <c r="F145" s="3">
        <f>'2019.05.31.'!G145</f>
        <v>0</v>
      </c>
      <c r="G145" s="3">
        <f>'2019.05.31.'!H145</f>
        <v>0</v>
      </c>
      <c r="H145" s="3">
        <f>'2019.05.31.'!I145</f>
        <v>0</v>
      </c>
      <c r="I145" s="3">
        <f>'2019.05.31.'!J145</f>
        <v>80000</v>
      </c>
      <c r="J145" s="3">
        <f>'2019.05.31.'!K145</f>
        <v>0</v>
      </c>
    </row>
    <row r="146" spans="1:10" x14ac:dyDescent="0.3">
      <c r="A146" s="254"/>
      <c r="B146" s="261"/>
      <c r="C146" s="2" t="s">
        <v>33</v>
      </c>
      <c r="D146" s="3">
        <v>110000</v>
      </c>
      <c r="E146" s="3">
        <f t="shared" si="45"/>
        <v>0</v>
      </c>
      <c r="F146" s="3">
        <f>'2019.05.31.'!G146</f>
        <v>0</v>
      </c>
      <c r="G146" s="3">
        <f>'2019.05.31.'!H146</f>
        <v>0</v>
      </c>
      <c r="H146" s="3">
        <f>'2019.05.31.'!I146</f>
        <v>0</v>
      </c>
      <c r="I146" s="3">
        <f>'2019.05.31.'!J146</f>
        <v>110000</v>
      </c>
      <c r="J146" s="3">
        <f>'2019.05.31.'!K146</f>
        <v>0</v>
      </c>
    </row>
    <row r="147" spans="1:10" x14ac:dyDescent="0.3">
      <c r="A147" s="254"/>
      <c r="B147" s="261"/>
      <c r="C147" s="2" t="s">
        <v>34</v>
      </c>
      <c r="D147" s="3">
        <v>150000</v>
      </c>
      <c r="E147" s="3">
        <f t="shared" si="45"/>
        <v>-14000</v>
      </c>
      <c r="F147" s="3">
        <f>'2019.05.31.'!G147</f>
        <v>0</v>
      </c>
      <c r="G147" s="3">
        <f>'2019.05.31.'!H147</f>
        <v>0</v>
      </c>
      <c r="H147" s="3">
        <f>'2019.05.31.'!I147</f>
        <v>0</v>
      </c>
      <c r="I147" s="3">
        <f>'2019.05.31.'!J147</f>
        <v>136000</v>
      </c>
      <c r="J147" s="3">
        <f>'2019.05.31.'!K147</f>
        <v>0</v>
      </c>
    </row>
    <row r="148" spans="1:10" x14ac:dyDescent="0.3">
      <c r="A148" s="254"/>
      <c r="B148" s="261"/>
      <c r="C148" s="2" t="s">
        <v>38</v>
      </c>
      <c r="D148" s="3">
        <v>144000</v>
      </c>
      <c r="E148" s="3">
        <f t="shared" si="45"/>
        <v>0</v>
      </c>
      <c r="F148" s="3">
        <f>'2019.05.31.'!G148</f>
        <v>0</v>
      </c>
      <c r="G148" s="3">
        <f>'2019.05.31.'!H148</f>
        <v>0</v>
      </c>
      <c r="H148" s="3">
        <f>'2019.05.31.'!I148</f>
        <v>0</v>
      </c>
      <c r="I148" s="3">
        <f>'2019.05.31.'!J148</f>
        <v>144000</v>
      </c>
      <c r="J148" s="3">
        <f>'2019.05.31.'!K148</f>
        <v>0</v>
      </c>
    </row>
    <row r="149" spans="1:10" x14ac:dyDescent="0.3">
      <c r="A149" s="254"/>
      <c r="B149" s="261"/>
      <c r="C149" s="2" t="s">
        <v>40</v>
      </c>
      <c r="D149" s="3">
        <v>16800</v>
      </c>
      <c r="E149" s="3">
        <f t="shared" si="45"/>
        <v>0</v>
      </c>
      <c r="F149" s="3">
        <f>'2019.05.31.'!G149</f>
        <v>0</v>
      </c>
      <c r="G149" s="3">
        <f>'2019.05.31.'!H149</f>
        <v>0</v>
      </c>
      <c r="H149" s="3">
        <f>'2019.05.31.'!I149</f>
        <v>0</v>
      </c>
      <c r="I149" s="3">
        <f>'2019.05.31.'!J149</f>
        <v>16800</v>
      </c>
      <c r="J149" s="3">
        <f>'2019.05.31.'!K149</f>
        <v>3400</v>
      </c>
    </row>
    <row r="150" spans="1:10" x14ac:dyDescent="0.3">
      <c r="A150" s="254"/>
      <c r="B150" s="261"/>
      <c r="C150" s="2" t="s">
        <v>41</v>
      </c>
      <c r="D150" s="3">
        <v>40000</v>
      </c>
      <c r="E150" s="3">
        <f t="shared" si="45"/>
        <v>14000</v>
      </c>
      <c r="F150" s="3">
        <f>'2019.05.31.'!G150</f>
        <v>0</v>
      </c>
      <c r="G150" s="3">
        <f>'2019.05.31.'!H150</f>
        <v>0</v>
      </c>
      <c r="H150" s="3">
        <f>'2019.05.31.'!I150</f>
        <v>0</v>
      </c>
      <c r="I150" s="3">
        <f>'2019.05.31.'!J150</f>
        <v>54000</v>
      </c>
      <c r="J150" s="3">
        <f>'2019.05.31.'!K150</f>
        <v>50080</v>
      </c>
    </row>
    <row r="151" spans="1:10" x14ac:dyDescent="0.3">
      <c r="A151" s="254"/>
      <c r="B151" s="261"/>
      <c r="C151" s="2" t="s">
        <v>42</v>
      </c>
      <c r="D151" s="3">
        <v>150000</v>
      </c>
      <c r="E151" s="3">
        <f t="shared" si="45"/>
        <v>0</v>
      </c>
      <c r="F151" s="3">
        <f>'2019.05.31.'!G151</f>
        <v>0</v>
      </c>
      <c r="G151" s="3">
        <f>'2019.05.31.'!H151</f>
        <v>0</v>
      </c>
      <c r="H151" s="3">
        <f>'2019.05.31.'!I151</f>
        <v>0</v>
      </c>
      <c r="I151" s="3">
        <f>'2019.05.31.'!J151</f>
        <v>150000</v>
      </c>
      <c r="J151" s="3">
        <f>'2019.05.31.'!K151</f>
        <v>51280</v>
      </c>
    </row>
    <row r="152" spans="1:10" x14ac:dyDescent="0.3">
      <c r="A152" s="254"/>
      <c r="B152" s="261"/>
      <c r="C152" s="2" t="s">
        <v>44</v>
      </c>
      <c r="D152" s="3">
        <v>141480</v>
      </c>
      <c r="E152" s="3">
        <f t="shared" si="45"/>
        <v>0</v>
      </c>
      <c r="F152" s="3">
        <f>'2019.05.31.'!G152</f>
        <v>0</v>
      </c>
      <c r="G152" s="3">
        <f>'2019.05.31.'!H152</f>
        <v>0</v>
      </c>
      <c r="H152" s="3">
        <f>'2019.05.31.'!I152</f>
        <v>0</v>
      </c>
      <c r="I152" s="3">
        <f>'2019.05.31.'!J152</f>
        <v>141480</v>
      </c>
      <c r="J152" s="3">
        <f>'2019.05.31.'!K152</f>
        <v>8122</v>
      </c>
    </row>
    <row r="153" spans="1:10" x14ac:dyDescent="0.3">
      <c r="A153" s="254"/>
      <c r="B153" s="261"/>
      <c r="C153" s="6" t="s">
        <v>49</v>
      </c>
      <c r="D153" s="7">
        <f>SUM(D145:D152)</f>
        <v>832280</v>
      </c>
      <c r="E153" s="7">
        <f t="shared" ref="E153:I153" si="46">SUM(E145:E152)</f>
        <v>0</v>
      </c>
      <c r="F153" s="7">
        <f t="shared" si="46"/>
        <v>0</v>
      </c>
      <c r="G153" s="7">
        <f t="shared" si="46"/>
        <v>0</v>
      </c>
      <c r="H153" s="7">
        <f t="shared" si="46"/>
        <v>0</v>
      </c>
      <c r="I153" s="7">
        <f t="shared" si="46"/>
        <v>832280</v>
      </c>
      <c r="J153" s="7">
        <f t="shared" ref="J153" si="47">SUM(J145:J152)</f>
        <v>112882</v>
      </c>
    </row>
    <row r="154" spans="1:10" x14ac:dyDescent="0.3">
      <c r="A154" s="262" t="s">
        <v>66</v>
      </c>
      <c r="B154" s="264" t="s">
        <v>23</v>
      </c>
      <c r="C154" s="15" t="s">
        <v>24</v>
      </c>
      <c r="D154" s="24">
        <v>832628</v>
      </c>
      <c r="E154" s="3">
        <f t="shared" ref="E154:E155" si="48">I154-D154-F154-G154-H154</f>
        <v>0</v>
      </c>
      <c r="F154" s="11">
        <f>'2019.05.31.'!G154</f>
        <v>0</v>
      </c>
      <c r="G154" s="11">
        <f>'2019.05.31.'!H154</f>
        <v>0</v>
      </c>
      <c r="H154" s="11">
        <f>'2019.05.31.'!I154</f>
        <v>0</v>
      </c>
      <c r="I154" s="3">
        <f>'2019.05.31.'!J154</f>
        <v>832628</v>
      </c>
      <c r="J154" s="3">
        <f>'2019.05.31.'!K154</f>
        <v>335402</v>
      </c>
    </row>
    <row r="155" spans="1:10" x14ac:dyDescent="0.3">
      <c r="A155" s="263"/>
      <c r="B155" s="265"/>
      <c r="C155" s="15" t="s">
        <v>31</v>
      </c>
      <c r="D155" s="24">
        <v>155410</v>
      </c>
      <c r="E155" s="3">
        <f t="shared" si="48"/>
        <v>0</v>
      </c>
      <c r="F155" s="11">
        <f>'2019.05.31.'!G155</f>
        <v>0</v>
      </c>
      <c r="G155" s="11">
        <f>'2019.05.31.'!H155</f>
        <v>0</v>
      </c>
      <c r="H155" s="11">
        <f>'2019.05.31.'!I155</f>
        <v>0</v>
      </c>
      <c r="I155" s="3">
        <f>'2019.05.31.'!J155</f>
        <v>155410</v>
      </c>
      <c r="J155" s="3">
        <f>'2019.05.31.'!K155</f>
        <v>65403</v>
      </c>
    </row>
    <row r="156" spans="1:10" s="92" customFormat="1" ht="19.5" customHeight="1" x14ac:dyDescent="0.3">
      <c r="A156" s="341" t="s">
        <v>79</v>
      </c>
      <c r="B156" s="342"/>
      <c r="C156" s="343"/>
      <c r="D156" s="91">
        <f>SUM(D143+D144+D153+D154+D155)</f>
        <v>8091236</v>
      </c>
      <c r="E156" s="91">
        <f t="shared" ref="E156:I156" si="49">SUM(E143+E144+E153+E154+E155)</f>
        <v>0</v>
      </c>
      <c r="F156" s="91">
        <f t="shared" si="49"/>
        <v>0</v>
      </c>
      <c r="G156" s="91">
        <f t="shared" si="49"/>
        <v>11448</v>
      </c>
      <c r="H156" s="91">
        <f t="shared" si="49"/>
        <v>0</v>
      </c>
      <c r="I156" s="91">
        <f t="shared" si="49"/>
        <v>8102684</v>
      </c>
      <c r="J156" s="91">
        <f t="shared" ref="J156" si="50">SUM(J143+J144+J153+J154+J155)</f>
        <v>3026526</v>
      </c>
    </row>
    <row r="157" spans="1:10" x14ac:dyDescent="0.3">
      <c r="A157" s="254" t="s">
        <v>55</v>
      </c>
      <c r="B157" s="261" t="s">
        <v>23</v>
      </c>
      <c r="C157" s="10" t="s">
        <v>24</v>
      </c>
      <c r="D157" s="24">
        <v>5055869</v>
      </c>
      <c r="E157" s="3">
        <f t="shared" ref="E157:E162" si="51">I157-D157-F157-G157-H157</f>
        <v>0</v>
      </c>
      <c r="F157" s="11">
        <f>'2019.05.31.'!G157</f>
        <v>0</v>
      </c>
      <c r="G157" s="11">
        <f>'2019.05.31.'!H157</f>
        <v>0</v>
      </c>
      <c r="H157" s="11">
        <f>'2019.05.31.'!I157</f>
        <v>0</v>
      </c>
      <c r="I157" s="3">
        <f>'2019.05.31.'!J157</f>
        <v>5055869</v>
      </c>
      <c r="J157" s="3">
        <f>'2019.05.31.'!K157</f>
        <v>2020996</v>
      </c>
    </row>
    <row r="158" spans="1:10" x14ac:dyDescent="0.3">
      <c r="A158" s="254"/>
      <c r="B158" s="261"/>
      <c r="C158" s="10" t="s">
        <v>25</v>
      </c>
      <c r="D158" s="24">
        <v>425000</v>
      </c>
      <c r="E158" s="3">
        <f t="shared" si="51"/>
        <v>0</v>
      </c>
      <c r="F158" s="11">
        <f>'2019.05.31.'!G158</f>
        <v>0</v>
      </c>
      <c r="G158" s="11">
        <f>'2019.05.31.'!H158</f>
        <v>0</v>
      </c>
      <c r="H158" s="11">
        <f>'2019.05.31.'!I158</f>
        <v>0</v>
      </c>
      <c r="I158" s="3">
        <f>'2019.05.31.'!J158</f>
        <v>425000</v>
      </c>
      <c r="J158" s="3">
        <f>'2019.05.31.'!K158</f>
        <v>212500</v>
      </c>
    </row>
    <row r="159" spans="1:10" x14ac:dyDescent="0.3">
      <c r="A159" s="254"/>
      <c r="B159" s="261"/>
      <c r="C159" s="10" t="s">
        <v>26</v>
      </c>
      <c r="D159" s="24">
        <v>10000</v>
      </c>
      <c r="E159" s="3">
        <f t="shared" si="51"/>
        <v>0</v>
      </c>
      <c r="F159" s="11">
        <f>'2019.05.31.'!G159</f>
        <v>0</v>
      </c>
      <c r="G159" s="11">
        <f>'2019.05.31.'!H159</f>
        <v>0</v>
      </c>
      <c r="H159" s="11">
        <f>'2019.05.31.'!I159</f>
        <v>0</v>
      </c>
      <c r="I159" s="3">
        <f>'2019.05.31.'!J159</f>
        <v>10000</v>
      </c>
      <c r="J159" s="3">
        <f>'2019.05.31.'!K159</f>
        <v>0</v>
      </c>
    </row>
    <row r="160" spans="1:10" x14ac:dyDescent="0.3">
      <c r="A160" s="254"/>
      <c r="B160" s="261"/>
      <c r="C160" s="10" t="s">
        <v>28</v>
      </c>
      <c r="D160" s="24">
        <v>24000</v>
      </c>
      <c r="E160" s="3">
        <f t="shared" si="51"/>
        <v>0</v>
      </c>
      <c r="F160" s="11">
        <f>'2019.05.31.'!G160</f>
        <v>0</v>
      </c>
      <c r="G160" s="11">
        <f>'2019.05.31.'!H160</f>
        <v>0</v>
      </c>
      <c r="H160" s="11">
        <f>'2019.05.31.'!I160</f>
        <v>0</v>
      </c>
      <c r="I160" s="3">
        <f>'2019.05.31.'!J160</f>
        <v>24000</v>
      </c>
      <c r="J160" s="3">
        <f>'2019.05.31.'!K160</f>
        <v>12000</v>
      </c>
    </row>
    <row r="161" spans="1:10" x14ac:dyDescent="0.3">
      <c r="A161" s="254"/>
      <c r="B161" s="261"/>
      <c r="C161" s="10" t="s">
        <v>29</v>
      </c>
      <c r="D161" s="24">
        <v>75000</v>
      </c>
      <c r="E161" s="3">
        <f t="shared" si="51"/>
        <v>0</v>
      </c>
      <c r="F161" s="11">
        <f>'2019.05.31.'!G161</f>
        <v>0</v>
      </c>
      <c r="G161" s="11">
        <f>'2019.05.31.'!H161</f>
        <v>0</v>
      </c>
      <c r="H161" s="11">
        <f>'2019.05.31.'!I161</f>
        <v>0</v>
      </c>
      <c r="I161" s="3">
        <f>'2019.05.31.'!J161</f>
        <v>75000</v>
      </c>
      <c r="J161" s="3">
        <f>'2019.05.31.'!K161</f>
        <v>0</v>
      </c>
    </row>
    <row r="162" spans="1:10" x14ac:dyDescent="0.3">
      <c r="A162" s="254"/>
      <c r="B162" s="261"/>
      <c r="C162" s="10" t="s">
        <v>30</v>
      </c>
      <c r="D162" s="24">
        <v>0</v>
      </c>
      <c r="E162" s="3">
        <f t="shared" si="51"/>
        <v>0</v>
      </c>
      <c r="F162" s="11">
        <f>'2019.05.31.'!G162</f>
        <v>0</v>
      </c>
      <c r="G162" s="11">
        <f>'2019.05.31.'!H162</f>
        <v>0</v>
      </c>
      <c r="H162" s="11">
        <f>'2019.05.31.'!I162</f>
        <v>0</v>
      </c>
      <c r="I162" s="3">
        <f>'2019.05.31.'!J162</f>
        <v>0</v>
      </c>
      <c r="J162" s="3">
        <f>'2019.05.31.'!K162</f>
        <v>0</v>
      </c>
    </row>
    <row r="163" spans="1:10" x14ac:dyDescent="0.3">
      <c r="A163" s="254"/>
      <c r="B163" s="261"/>
      <c r="C163" s="6" t="s">
        <v>53</v>
      </c>
      <c r="D163" s="7">
        <f>SUM(D157:D162)</f>
        <v>5589869</v>
      </c>
      <c r="E163" s="7">
        <f t="shared" ref="E163:I163" si="52">SUM(E157:E162)</f>
        <v>0</v>
      </c>
      <c r="F163" s="7">
        <f t="shared" si="52"/>
        <v>0</v>
      </c>
      <c r="G163" s="7">
        <f t="shared" si="52"/>
        <v>0</v>
      </c>
      <c r="H163" s="7">
        <f t="shared" si="52"/>
        <v>0</v>
      </c>
      <c r="I163" s="7">
        <f t="shared" si="52"/>
        <v>5589869</v>
      </c>
      <c r="J163" s="7">
        <f t="shared" ref="J163" si="53">SUM(J157:J162)</f>
        <v>2245496</v>
      </c>
    </row>
    <row r="164" spans="1:10" x14ac:dyDescent="0.3">
      <c r="A164" s="254"/>
      <c r="B164" s="261"/>
      <c r="C164" s="96" t="s">
        <v>31</v>
      </c>
      <c r="D164" s="83">
        <v>1124913</v>
      </c>
      <c r="E164" s="85">
        <f t="shared" ref="E164:E173" si="54">I164-D164-F164-G164-H164</f>
        <v>0</v>
      </c>
      <c r="F164" s="83">
        <f>'2019.05.31.'!G164</f>
        <v>0</v>
      </c>
      <c r="G164" s="83">
        <f>'2019.05.31.'!H164</f>
        <v>0</v>
      </c>
      <c r="H164" s="83">
        <f>'2019.05.31.'!I164</f>
        <v>0</v>
      </c>
      <c r="I164" s="85">
        <f>'2019.05.31.'!J164</f>
        <v>1124913</v>
      </c>
      <c r="J164" s="85">
        <f>'2019.05.31.'!K164</f>
        <v>476411</v>
      </c>
    </row>
    <row r="165" spans="1:10" x14ac:dyDescent="0.3">
      <c r="A165" s="254"/>
      <c r="B165" s="261"/>
      <c r="C165" s="10" t="s">
        <v>32</v>
      </c>
      <c r="D165" s="24">
        <v>100000</v>
      </c>
      <c r="E165" s="3">
        <f t="shared" si="54"/>
        <v>0</v>
      </c>
      <c r="F165" s="11">
        <f>'2019.05.31.'!G165</f>
        <v>0</v>
      </c>
      <c r="G165" s="11">
        <f>'2019.05.31.'!H165</f>
        <v>0</v>
      </c>
      <c r="H165" s="11">
        <f>'2019.05.31.'!I165</f>
        <v>0</v>
      </c>
      <c r="I165" s="3">
        <f>'2019.05.31.'!J165</f>
        <v>100000</v>
      </c>
      <c r="J165" s="3">
        <f>'2019.05.31.'!K165</f>
        <v>0</v>
      </c>
    </row>
    <row r="166" spans="1:10" x14ac:dyDescent="0.3">
      <c r="A166" s="254"/>
      <c r="B166" s="261"/>
      <c r="C166" s="10" t="s">
        <v>33</v>
      </c>
      <c r="D166" s="24">
        <v>100000</v>
      </c>
      <c r="E166" s="3">
        <f t="shared" si="54"/>
        <v>0</v>
      </c>
      <c r="F166" s="11">
        <f>'2019.05.31.'!G166</f>
        <v>0</v>
      </c>
      <c r="G166" s="11">
        <f>'2019.05.31.'!H166</f>
        <v>0</v>
      </c>
      <c r="H166" s="11">
        <f>'2019.05.31.'!I166</f>
        <v>0</v>
      </c>
      <c r="I166" s="3">
        <f>'2019.05.31.'!J166</f>
        <v>100000</v>
      </c>
      <c r="J166" s="3">
        <f>'2019.05.31.'!K166</f>
        <v>0</v>
      </c>
    </row>
    <row r="167" spans="1:10" x14ac:dyDescent="0.3">
      <c r="A167" s="254"/>
      <c r="B167" s="261"/>
      <c r="C167" s="10" t="s">
        <v>34</v>
      </c>
      <c r="D167" s="24">
        <v>100000</v>
      </c>
      <c r="E167" s="3">
        <f t="shared" si="54"/>
        <v>0</v>
      </c>
      <c r="F167" s="11">
        <f>'2019.05.31.'!G167</f>
        <v>0</v>
      </c>
      <c r="G167" s="11">
        <f>'2019.05.31.'!H167</f>
        <v>0</v>
      </c>
      <c r="H167" s="11">
        <f>'2019.05.31.'!I167</f>
        <v>0</v>
      </c>
      <c r="I167" s="3">
        <f>'2019.05.31.'!J167</f>
        <v>100000</v>
      </c>
      <c r="J167" s="3">
        <f>'2019.05.31.'!K167</f>
        <v>0</v>
      </c>
    </row>
    <row r="168" spans="1:10" x14ac:dyDescent="0.3">
      <c r="A168" s="254"/>
      <c r="B168" s="261"/>
      <c r="C168" s="10" t="s">
        <v>35</v>
      </c>
      <c r="D168" s="24">
        <v>50000</v>
      </c>
      <c r="E168" s="3">
        <f t="shared" si="54"/>
        <v>0</v>
      </c>
      <c r="F168" s="11">
        <f>'2019.05.31.'!G168</f>
        <v>0</v>
      </c>
      <c r="G168" s="11">
        <f>'2019.05.31.'!H168</f>
        <v>0</v>
      </c>
      <c r="H168" s="11">
        <f>'2019.05.31.'!I168</f>
        <v>0</v>
      </c>
      <c r="I168" s="3">
        <f>'2019.05.31.'!J168</f>
        <v>50000</v>
      </c>
      <c r="J168" s="3">
        <f>'2019.05.31.'!K168</f>
        <v>0</v>
      </c>
    </row>
    <row r="169" spans="1:10" x14ac:dyDescent="0.3">
      <c r="A169" s="254"/>
      <c r="B169" s="261"/>
      <c r="C169" s="10" t="s">
        <v>38</v>
      </c>
      <c r="D169" s="24">
        <v>140000</v>
      </c>
      <c r="E169" s="3">
        <f t="shared" si="54"/>
        <v>0</v>
      </c>
      <c r="F169" s="11">
        <f>'2019.05.31.'!G169</f>
        <v>0</v>
      </c>
      <c r="G169" s="11">
        <f>'2019.05.31.'!H169</f>
        <v>0</v>
      </c>
      <c r="H169" s="11">
        <f>'2019.05.31.'!I169</f>
        <v>0</v>
      </c>
      <c r="I169" s="3">
        <f>'2019.05.31.'!J169</f>
        <v>140000</v>
      </c>
      <c r="J169" s="3">
        <f>'2019.05.31.'!K169</f>
        <v>26259</v>
      </c>
    </row>
    <row r="170" spans="1:10" x14ac:dyDescent="0.3">
      <c r="A170" s="254"/>
      <c r="B170" s="261"/>
      <c r="C170" s="10" t="s">
        <v>40</v>
      </c>
      <c r="D170" s="24">
        <v>15000</v>
      </c>
      <c r="E170" s="3">
        <f t="shared" si="54"/>
        <v>0</v>
      </c>
      <c r="F170" s="11">
        <f>'2019.05.31.'!G170</f>
        <v>0</v>
      </c>
      <c r="G170" s="11">
        <f>'2019.05.31.'!H170</f>
        <v>0</v>
      </c>
      <c r="H170" s="11">
        <f>'2019.05.31.'!I170</f>
        <v>0</v>
      </c>
      <c r="I170" s="3">
        <f>'2019.05.31.'!J170</f>
        <v>15000</v>
      </c>
      <c r="J170" s="3">
        <f>'2019.05.31.'!K170</f>
        <v>2950</v>
      </c>
    </row>
    <row r="171" spans="1:10" x14ac:dyDescent="0.3">
      <c r="A171" s="254"/>
      <c r="B171" s="261"/>
      <c r="C171" s="10" t="s">
        <v>41</v>
      </c>
      <c r="D171" s="24">
        <v>80000</v>
      </c>
      <c r="E171" s="3">
        <f t="shared" si="54"/>
        <v>0</v>
      </c>
      <c r="F171" s="11">
        <f>'2019.05.31.'!G171</f>
        <v>0</v>
      </c>
      <c r="G171" s="11">
        <f>'2019.05.31.'!H171</f>
        <v>0</v>
      </c>
      <c r="H171" s="11">
        <f>'2019.05.31.'!I171</f>
        <v>0</v>
      </c>
      <c r="I171" s="3">
        <f>'2019.05.31.'!J171</f>
        <v>80000</v>
      </c>
      <c r="J171" s="3">
        <f>'2019.05.31.'!K171</f>
        <v>30080</v>
      </c>
    </row>
    <row r="172" spans="1:10" x14ac:dyDescent="0.3">
      <c r="A172" s="254"/>
      <c r="B172" s="261"/>
      <c r="C172" s="10" t="s">
        <v>42</v>
      </c>
      <c r="D172" s="24">
        <v>240000</v>
      </c>
      <c r="E172" s="3">
        <f t="shared" si="54"/>
        <v>0</v>
      </c>
      <c r="F172" s="11">
        <f>'2019.05.31.'!G172</f>
        <v>0</v>
      </c>
      <c r="G172" s="11">
        <f>'2019.05.31.'!H172</f>
        <v>0</v>
      </c>
      <c r="H172" s="11">
        <f>'2019.05.31.'!I172</f>
        <v>0</v>
      </c>
      <c r="I172" s="3">
        <f>'2019.05.31.'!J172</f>
        <v>240000</v>
      </c>
      <c r="J172" s="3">
        <f>'2019.05.31.'!K172</f>
        <v>108195</v>
      </c>
    </row>
    <row r="173" spans="1:10" x14ac:dyDescent="0.3">
      <c r="A173" s="254"/>
      <c r="B173" s="261"/>
      <c r="C173" s="10" t="s">
        <v>44</v>
      </c>
      <c r="D173" s="24">
        <v>142900</v>
      </c>
      <c r="E173" s="3">
        <f t="shared" si="54"/>
        <v>0</v>
      </c>
      <c r="F173" s="11">
        <f>'2019.05.31.'!G173</f>
        <v>0</v>
      </c>
      <c r="G173" s="11">
        <f>'2019.05.31.'!H173</f>
        <v>0</v>
      </c>
      <c r="H173" s="11">
        <f>'2019.05.31.'!I173</f>
        <v>0</v>
      </c>
      <c r="I173" s="3">
        <f>'2019.05.31.'!J173</f>
        <v>142900</v>
      </c>
      <c r="J173" s="3">
        <f>'2019.05.31.'!K173</f>
        <v>15212</v>
      </c>
    </row>
    <row r="174" spans="1:10" x14ac:dyDescent="0.3">
      <c r="A174" s="254"/>
      <c r="B174" s="261"/>
      <c r="C174" s="6" t="s">
        <v>49</v>
      </c>
      <c r="D174" s="7">
        <f>SUM(D165:D173)</f>
        <v>967900</v>
      </c>
      <c r="E174" s="7">
        <f t="shared" ref="E174:I174" si="55">SUM(E165:E173)</f>
        <v>0</v>
      </c>
      <c r="F174" s="7">
        <f t="shared" si="55"/>
        <v>0</v>
      </c>
      <c r="G174" s="7">
        <f t="shared" si="55"/>
        <v>0</v>
      </c>
      <c r="H174" s="7">
        <f t="shared" si="55"/>
        <v>0</v>
      </c>
      <c r="I174" s="7">
        <f t="shared" si="55"/>
        <v>967900</v>
      </c>
      <c r="J174" s="7">
        <f t="shared" ref="J174" si="56">SUM(J165:J173)</f>
        <v>182696</v>
      </c>
    </row>
    <row r="175" spans="1:10" x14ac:dyDescent="0.3">
      <c r="A175" s="262" t="s">
        <v>67</v>
      </c>
      <c r="B175" s="264" t="s">
        <v>23</v>
      </c>
      <c r="C175" s="25" t="s">
        <v>29</v>
      </c>
      <c r="D175" s="24">
        <v>157200</v>
      </c>
      <c r="E175" s="3">
        <f t="shared" ref="E175:E178" si="57">I175-D175-F175-G175-H175</f>
        <v>0</v>
      </c>
      <c r="F175" s="11">
        <f>'2019.05.31.'!G175</f>
        <v>0</v>
      </c>
      <c r="G175" s="11">
        <f>'2019.05.31.'!H175</f>
        <v>0</v>
      </c>
      <c r="H175" s="11">
        <f>'2019.05.31.'!I175</f>
        <v>0</v>
      </c>
      <c r="I175" s="3">
        <f>'2019.05.31.'!J175</f>
        <v>157200</v>
      </c>
      <c r="J175" s="3">
        <f>'2019.05.31.'!K175</f>
        <v>34300</v>
      </c>
    </row>
    <row r="176" spans="1:10" x14ac:dyDescent="0.3">
      <c r="A176" s="263"/>
      <c r="B176" s="265"/>
      <c r="C176" s="25" t="s">
        <v>31</v>
      </c>
      <c r="D176" s="24">
        <v>29213</v>
      </c>
      <c r="E176" s="3">
        <f t="shared" si="57"/>
        <v>0</v>
      </c>
      <c r="F176" s="11">
        <f>'2019.05.31.'!G176</f>
        <v>0</v>
      </c>
      <c r="G176" s="11">
        <f>'2019.05.31.'!H176</f>
        <v>0</v>
      </c>
      <c r="H176" s="11">
        <f>'2019.05.31.'!I176</f>
        <v>0</v>
      </c>
      <c r="I176" s="3">
        <f>'2019.05.31.'!J176</f>
        <v>29213</v>
      </c>
      <c r="J176" s="3">
        <f>'2019.05.31.'!K176</f>
        <v>6689</v>
      </c>
    </row>
    <row r="177" spans="1:10" x14ac:dyDescent="0.3">
      <c r="A177" s="262" t="s">
        <v>75</v>
      </c>
      <c r="B177" s="264" t="s">
        <v>23</v>
      </c>
      <c r="C177" s="15" t="s">
        <v>24</v>
      </c>
      <c r="D177" s="24">
        <v>1604509</v>
      </c>
      <c r="E177" s="3">
        <f t="shared" si="57"/>
        <v>0</v>
      </c>
      <c r="F177" s="11">
        <f>'2019.05.31.'!G177</f>
        <v>0</v>
      </c>
      <c r="G177" s="11">
        <f>'2019.05.31.'!H177</f>
        <v>0</v>
      </c>
      <c r="H177" s="11">
        <f>'2019.05.31.'!I177</f>
        <v>0</v>
      </c>
      <c r="I177" s="3">
        <f>'2019.05.31.'!J177</f>
        <v>1604509</v>
      </c>
      <c r="J177" s="3">
        <f>'2019.05.31.'!K177</f>
        <v>681832</v>
      </c>
    </row>
    <row r="178" spans="1:10" x14ac:dyDescent="0.3">
      <c r="A178" s="263"/>
      <c r="B178" s="265"/>
      <c r="C178" s="15" t="s">
        <v>31</v>
      </c>
      <c r="D178" s="24">
        <v>299119</v>
      </c>
      <c r="E178" s="3">
        <f t="shared" si="57"/>
        <v>0</v>
      </c>
      <c r="F178" s="11">
        <f>'2019.05.31.'!G178</f>
        <v>0</v>
      </c>
      <c r="G178" s="11">
        <f>'2019.05.31.'!H178</f>
        <v>0</v>
      </c>
      <c r="H178" s="11">
        <f>'2019.05.31.'!I178</f>
        <v>0</v>
      </c>
      <c r="I178" s="3">
        <f>'2019.05.31.'!J178</f>
        <v>299119</v>
      </c>
      <c r="J178" s="3">
        <f>'2019.05.31.'!K178</f>
        <v>132959</v>
      </c>
    </row>
    <row r="179" spans="1:10" s="92" customFormat="1" ht="19.5" customHeight="1" x14ac:dyDescent="0.3">
      <c r="A179" s="344" t="s">
        <v>80</v>
      </c>
      <c r="B179" s="344"/>
      <c r="C179" s="344"/>
      <c r="D179" s="93">
        <f>SUM(D163+D164+D174+D175+D176+D177+D178)</f>
        <v>9772723</v>
      </c>
      <c r="E179" s="93">
        <f t="shared" ref="E179:I179" si="58">SUM(E163+E164+E174+E175+E176+E177+E178)</f>
        <v>0</v>
      </c>
      <c r="F179" s="93">
        <f t="shared" si="58"/>
        <v>0</v>
      </c>
      <c r="G179" s="93">
        <f t="shared" si="58"/>
        <v>0</v>
      </c>
      <c r="H179" s="93">
        <f t="shared" si="58"/>
        <v>0</v>
      </c>
      <c r="I179" s="93">
        <f t="shared" si="58"/>
        <v>9772723</v>
      </c>
      <c r="J179" s="93">
        <f t="shared" ref="J179" si="59">SUM(J163+J164+J174+J175+J176+J177+J178)</f>
        <v>3760383</v>
      </c>
    </row>
    <row r="180" spans="1:10" x14ac:dyDescent="0.3">
      <c r="A180" s="254" t="s">
        <v>15</v>
      </c>
      <c r="B180" s="264" t="s">
        <v>23</v>
      </c>
      <c r="C180" s="43" t="s">
        <v>24</v>
      </c>
      <c r="D180" s="44">
        <v>11144060</v>
      </c>
      <c r="E180" s="3">
        <f t="shared" ref="E180:E191" si="60">I180-D180-F180-G180-H180</f>
        <v>0</v>
      </c>
      <c r="F180" s="44">
        <f>'2019.05.31.'!G180</f>
        <v>0</v>
      </c>
      <c r="G180" s="44">
        <f>'2019.05.31.'!H180</f>
        <v>0</v>
      </c>
      <c r="H180" s="44">
        <f>'2019.05.31.'!I180</f>
        <v>0</v>
      </c>
      <c r="I180" s="3">
        <f>'2019.05.31.'!J180</f>
        <v>11144060</v>
      </c>
      <c r="J180" s="3">
        <f>'2019.05.31.'!K180</f>
        <v>960500</v>
      </c>
    </row>
    <row r="181" spans="1:10" x14ac:dyDescent="0.3">
      <c r="A181" s="254"/>
      <c r="B181" s="268"/>
      <c r="C181" s="43" t="s">
        <v>30</v>
      </c>
      <c r="D181" s="44">
        <v>0</v>
      </c>
      <c r="E181" s="3">
        <f t="shared" ref="E181" si="61">I181-D181-F181-G181-H181</f>
        <v>10500000</v>
      </c>
      <c r="F181" s="44">
        <f>'2019.05.31.'!G181</f>
        <v>0</v>
      </c>
      <c r="G181" s="44">
        <f>'2019.05.31.'!H181</f>
        <v>0</v>
      </c>
      <c r="H181" s="44">
        <f>'2019.05.31.'!I181</f>
        <v>0</v>
      </c>
      <c r="I181" s="3">
        <f>'2019.05.31.'!J181</f>
        <v>10500000</v>
      </c>
      <c r="J181" s="3">
        <f>'2019.05.31.'!K181</f>
        <v>0</v>
      </c>
    </row>
    <row r="182" spans="1:10" x14ac:dyDescent="0.3">
      <c r="A182" s="254"/>
      <c r="B182" s="268"/>
      <c r="C182" s="6" t="s">
        <v>53</v>
      </c>
      <c r="D182" s="7">
        <f>D180+D181</f>
        <v>11144060</v>
      </c>
      <c r="E182" s="7">
        <f t="shared" si="60"/>
        <v>10500000</v>
      </c>
      <c r="F182" s="7">
        <f>'2019.05.31.'!G182</f>
        <v>0</v>
      </c>
      <c r="G182" s="7">
        <f>'2019.05.31.'!H182</f>
        <v>0</v>
      </c>
      <c r="H182" s="7">
        <f>'2019.05.31.'!I182</f>
        <v>0</v>
      </c>
      <c r="I182" s="8">
        <f>I180+I181</f>
        <v>21644060</v>
      </c>
      <c r="J182" s="8">
        <f>J180</f>
        <v>960500</v>
      </c>
    </row>
    <row r="183" spans="1:10" x14ac:dyDescent="0.3">
      <c r="A183" s="254"/>
      <c r="B183" s="268"/>
      <c r="C183" s="96" t="s">
        <v>31</v>
      </c>
      <c r="D183" s="83">
        <v>2295657</v>
      </c>
      <c r="E183" s="85">
        <f t="shared" si="60"/>
        <v>0</v>
      </c>
      <c r="F183" s="83">
        <f>'2019.05.31.'!G183</f>
        <v>0</v>
      </c>
      <c r="G183" s="83">
        <f>'2019.05.31.'!H183</f>
        <v>0</v>
      </c>
      <c r="H183" s="83">
        <f>'2019.05.31.'!I183</f>
        <v>0</v>
      </c>
      <c r="I183" s="85">
        <f>'2019.05.31.'!J183</f>
        <v>2295657</v>
      </c>
      <c r="J183" s="85">
        <f>'2019.05.31.'!K183</f>
        <v>187298</v>
      </c>
    </row>
    <row r="184" spans="1:10" x14ac:dyDescent="0.3">
      <c r="A184" s="254"/>
      <c r="B184" s="268"/>
      <c r="C184" s="10" t="s">
        <v>33</v>
      </c>
      <c r="D184" s="3">
        <v>90000</v>
      </c>
      <c r="E184" s="3">
        <f t="shared" si="60"/>
        <v>0</v>
      </c>
      <c r="F184" s="3">
        <f>'2019.05.31.'!G184</f>
        <v>0</v>
      </c>
      <c r="G184" s="3">
        <f>'2019.05.31.'!H184</f>
        <v>0</v>
      </c>
      <c r="H184" s="3">
        <f>'2019.05.31.'!I184</f>
        <v>0</v>
      </c>
      <c r="I184" s="3">
        <f>'2019.05.31.'!J184</f>
        <v>90000</v>
      </c>
      <c r="J184" s="3">
        <f>'2019.05.31.'!K184</f>
        <v>0</v>
      </c>
    </row>
    <row r="185" spans="1:10" x14ac:dyDescent="0.3">
      <c r="A185" s="254"/>
      <c r="B185" s="268"/>
      <c r="C185" s="10" t="s">
        <v>37</v>
      </c>
      <c r="D185" s="3">
        <v>230000</v>
      </c>
      <c r="E185" s="3">
        <f t="shared" si="60"/>
        <v>0</v>
      </c>
      <c r="F185" s="3">
        <f>'2019.05.31.'!G185</f>
        <v>0</v>
      </c>
      <c r="G185" s="3">
        <f>'2019.05.31.'!H185</f>
        <v>0</v>
      </c>
      <c r="H185" s="3">
        <f>'2019.05.31.'!I185</f>
        <v>0</v>
      </c>
      <c r="I185" s="3">
        <f>'2019.05.31.'!J185</f>
        <v>230000</v>
      </c>
      <c r="J185" s="3">
        <f>'2019.05.31.'!K185</f>
        <v>0</v>
      </c>
    </row>
    <row r="186" spans="1:10" x14ac:dyDescent="0.3">
      <c r="A186" s="254"/>
      <c r="B186" s="268"/>
      <c r="C186" s="10" t="s">
        <v>40</v>
      </c>
      <c r="D186" s="3">
        <v>14850000</v>
      </c>
      <c r="E186" s="3">
        <f t="shared" si="60"/>
        <v>0</v>
      </c>
      <c r="F186" s="3">
        <f>'2019.05.31.'!G186</f>
        <v>0</v>
      </c>
      <c r="G186" s="3">
        <f>'2019.05.31.'!H186</f>
        <v>0</v>
      </c>
      <c r="H186" s="3">
        <f>'2019.05.31.'!I186</f>
        <v>0</v>
      </c>
      <c r="I186" s="3">
        <f>'2019.05.31.'!J186</f>
        <v>14850000</v>
      </c>
      <c r="J186" s="3">
        <f>'2019.05.31.'!K186</f>
        <v>0</v>
      </c>
    </row>
    <row r="187" spans="1:10" x14ac:dyDescent="0.3">
      <c r="A187" s="254"/>
      <c r="B187" s="268"/>
      <c r="C187" s="10" t="s">
        <v>41</v>
      </c>
      <c r="D187" s="3">
        <v>25112271</v>
      </c>
      <c r="E187" s="3">
        <f t="shared" si="60"/>
        <v>-18767717</v>
      </c>
      <c r="F187" s="3">
        <f>'2019.05.31.'!G187</f>
        <v>0</v>
      </c>
      <c r="G187" s="3">
        <f>'2019.05.31.'!H187</f>
        <v>0</v>
      </c>
      <c r="H187" s="3">
        <f>'2019.05.31.'!I187</f>
        <v>0</v>
      </c>
      <c r="I187" s="3">
        <f>'2019.05.31.'!J187</f>
        <v>6344554</v>
      </c>
      <c r="J187" s="3">
        <f>'2019.05.31.'!K187</f>
        <v>5250000</v>
      </c>
    </row>
    <row r="188" spans="1:10" x14ac:dyDescent="0.3">
      <c r="A188" s="254"/>
      <c r="B188" s="268"/>
      <c r="C188" s="10" t="s">
        <v>42</v>
      </c>
      <c r="D188" s="3">
        <v>230000</v>
      </c>
      <c r="E188" s="3">
        <f t="shared" si="60"/>
        <v>0</v>
      </c>
      <c r="F188" s="3">
        <f>'2019.05.31.'!G188</f>
        <v>0</v>
      </c>
      <c r="G188" s="3">
        <f>'2019.05.31.'!H188</f>
        <v>0</v>
      </c>
      <c r="H188" s="3">
        <f>'2019.05.31.'!I188</f>
        <v>0</v>
      </c>
      <c r="I188" s="3">
        <f>'2019.05.31.'!J188</f>
        <v>230000</v>
      </c>
      <c r="J188" s="3">
        <f>'2019.05.31.'!K188</f>
        <v>0</v>
      </c>
    </row>
    <row r="189" spans="1:10" x14ac:dyDescent="0.3">
      <c r="A189" s="254"/>
      <c r="B189" s="268"/>
      <c r="C189" s="10" t="s">
        <v>43</v>
      </c>
      <c r="D189" s="3">
        <v>230000</v>
      </c>
      <c r="E189" s="3">
        <f t="shared" si="60"/>
        <v>0</v>
      </c>
      <c r="F189" s="3">
        <f>'2019.05.31.'!G189</f>
        <v>0</v>
      </c>
      <c r="G189" s="3">
        <f>'2019.05.31.'!H189</f>
        <v>0</v>
      </c>
      <c r="H189" s="3">
        <f>'2019.05.31.'!I189</f>
        <v>0</v>
      </c>
      <c r="I189" s="3">
        <f>'2019.05.31.'!J189</f>
        <v>230000</v>
      </c>
      <c r="J189" s="3">
        <f>'2019.05.31.'!K189</f>
        <v>0</v>
      </c>
    </row>
    <row r="190" spans="1:10" x14ac:dyDescent="0.3">
      <c r="A190" s="254"/>
      <c r="B190" s="268"/>
      <c r="C190" s="10" t="s">
        <v>44</v>
      </c>
      <c r="D190" s="3">
        <v>5677830</v>
      </c>
      <c r="E190" s="3">
        <f t="shared" si="60"/>
        <v>-2232283</v>
      </c>
      <c r="F190" s="3">
        <f>'2019.05.31.'!G190</f>
        <v>0</v>
      </c>
      <c r="G190" s="3">
        <f>'2019.05.31.'!H190</f>
        <v>0</v>
      </c>
      <c r="H190" s="3">
        <f>'2019.05.31.'!I190</f>
        <v>0</v>
      </c>
      <c r="I190" s="3">
        <f>'2019.05.31.'!J190</f>
        <v>3445547</v>
      </c>
      <c r="J190" s="3">
        <f>'2019.05.31.'!K190</f>
        <v>1417500</v>
      </c>
    </row>
    <row r="191" spans="1:10" x14ac:dyDescent="0.3">
      <c r="A191" s="254"/>
      <c r="B191" s="268"/>
      <c r="C191" s="10" t="s">
        <v>45</v>
      </c>
      <c r="D191" s="3">
        <v>229990</v>
      </c>
      <c r="E191" s="3">
        <f t="shared" si="60"/>
        <v>0</v>
      </c>
      <c r="F191" s="3">
        <f>'2019.05.31.'!G191</f>
        <v>0</v>
      </c>
      <c r="G191" s="3">
        <f>'2019.05.31.'!H191</f>
        <v>0</v>
      </c>
      <c r="H191" s="3">
        <f>'2019.05.31.'!I191</f>
        <v>0</v>
      </c>
      <c r="I191" s="3">
        <f>'2019.05.31.'!J191</f>
        <v>229990</v>
      </c>
      <c r="J191" s="3">
        <f>'2019.05.31.'!K191</f>
        <v>0</v>
      </c>
    </row>
    <row r="192" spans="1:10" x14ac:dyDescent="0.3">
      <c r="A192" s="254"/>
      <c r="B192" s="268"/>
      <c r="C192" s="6" t="s">
        <v>49</v>
      </c>
      <c r="D192" s="7">
        <f>SUM(D184:D191)</f>
        <v>46650091</v>
      </c>
      <c r="E192" s="7">
        <f t="shared" ref="E192:I192" si="62">SUM(E184:E191)</f>
        <v>-21000000</v>
      </c>
      <c r="F192" s="7">
        <f t="shared" si="62"/>
        <v>0</v>
      </c>
      <c r="G192" s="7">
        <f t="shared" si="62"/>
        <v>0</v>
      </c>
      <c r="H192" s="7">
        <f t="shared" si="62"/>
        <v>0</v>
      </c>
      <c r="I192" s="7">
        <f t="shared" si="62"/>
        <v>25650091</v>
      </c>
      <c r="J192" s="7">
        <f t="shared" ref="J192" si="63">SUM(J184:J191)</f>
        <v>6667500</v>
      </c>
    </row>
    <row r="193" spans="1:10" x14ac:dyDescent="0.3">
      <c r="A193" s="254"/>
      <c r="B193" s="268"/>
      <c r="C193" s="10" t="s">
        <v>56</v>
      </c>
      <c r="D193" s="3">
        <v>0</v>
      </c>
      <c r="E193" s="3">
        <f t="shared" ref="E193:E195" si="64">I193-D193-F193-G193-H193</f>
        <v>0</v>
      </c>
      <c r="F193" s="3">
        <f>'2019.05.31.'!G193</f>
        <v>0</v>
      </c>
      <c r="G193" s="3">
        <f>'2019.05.31.'!H193</f>
        <v>0</v>
      </c>
      <c r="H193" s="3">
        <f>'2019.05.31.'!I193</f>
        <v>0</v>
      </c>
      <c r="I193" s="3">
        <f>'2019.05.31.'!J193</f>
        <v>0</v>
      </c>
      <c r="J193" s="3">
        <f>'2019.05.31.'!K193</f>
        <v>0</v>
      </c>
    </row>
    <row r="194" spans="1:10" x14ac:dyDescent="0.3">
      <c r="A194" s="254"/>
      <c r="B194" s="268"/>
      <c r="C194" s="10" t="s">
        <v>50</v>
      </c>
      <c r="D194" s="3">
        <v>3740</v>
      </c>
      <c r="E194" s="3">
        <f t="shared" si="64"/>
        <v>0</v>
      </c>
      <c r="F194" s="3">
        <f>'2019.05.31.'!G194</f>
        <v>0</v>
      </c>
      <c r="G194" s="3">
        <f>'2019.05.31.'!H194</f>
        <v>0</v>
      </c>
      <c r="H194" s="3">
        <f>'2019.05.31.'!I194</f>
        <v>0</v>
      </c>
      <c r="I194" s="3">
        <f>'2019.05.31.'!J194</f>
        <v>3740</v>
      </c>
      <c r="J194" s="3">
        <f>'2019.05.31.'!K194</f>
        <v>0</v>
      </c>
    </row>
    <row r="195" spans="1:10" x14ac:dyDescent="0.3">
      <c r="A195" s="254"/>
      <c r="B195" s="268"/>
      <c r="C195" s="10" t="s">
        <v>51</v>
      </c>
      <c r="D195" s="3">
        <v>1010</v>
      </c>
      <c r="E195" s="3">
        <f t="shared" si="64"/>
        <v>0</v>
      </c>
      <c r="F195" s="3">
        <f>'2019.05.31.'!G195</f>
        <v>0</v>
      </c>
      <c r="G195" s="3">
        <f>'2019.05.31.'!H195</f>
        <v>0</v>
      </c>
      <c r="H195" s="3">
        <f>'2019.05.31.'!I195</f>
        <v>0</v>
      </c>
      <c r="I195" s="3">
        <f>'2019.05.31.'!J195</f>
        <v>1010</v>
      </c>
      <c r="J195" s="3">
        <f>'2019.05.31.'!K195</f>
        <v>0</v>
      </c>
    </row>
    <row r="196" spans="1:10" x14ac:dyDescent="0.3">
      <c r="A196" s="254"/>
      <c r="B196" s="268"/>
      <c r="C196" s="6" t="s">
        <v>52</v>
      </c>
      <c r="D196" s="7">
        <f>SUM(D193:D195)</f>
        <v>4750</v>
      </c>
      <c r="E196" s="7">
        <f t="shared" ref="E196:I196" si="65">SUM(E193:E195)</f>
        <v>0</v>
      </c>
      <c r="F196" s="7">
        <f t="shared" si="65"/>
        <v>0</v>
      </c>
      <c r="G196" s="7">
        <f t="shared" si="65"/>
        <v>0</v>
      </c>
      <c r="H196" s="7">
        <f t="shared" si="65"/>
        <v>0</v>
      </c>
      <c r="I196" s="7">
        <f t="shared" si="65"/>
        <v>4750</v>
      </c>
      <c r="J196" s="7">
        <f t="shared" ref="J196" si="66">SUM(J193:J195)</f>
        <v>0</v>
      </c>
    </row>
    <row r="197" spans="1:10" x14ac:dyDescent="0.3">
      <c r="A197" s="254"/>
      <c r="B197" s="265"/>
      <c r="C197" s="10" t="s">
        <v>57</v>
      </c>
      <c r="D197" s="3">
        <v>0</v>
      </c>
      <c r="E197" s="3">
        <f>I197-D197-F197-G197-H197</f>
        <v>10500000</v>
      </c>
      <c r="F197" s="3">
        <f>'2019.05.31.'!G197</f>
        <v>0</v>
      </c>
      <c r="G197" s="3">
        <f>'2019.05.31.'!H197</f>
        <v>0</v>
      </c>
      <c r="H197" s="3">
        <f>'2019.05.31.'!I197</f>
        <v>0</v>
      </c>
      <c r="I197" s="3">
        <f>'2019.05.31.'!J197</f>
        <v>10500000</v>
      </c>
      <c r="J197" s="3">
        <f>'2019.05.31.'!K197</f>
        <v>10500000</v>
      </c>
    </row>
    <row r="198" spans="1:10" s="92" customFormat="1" ht="19.5" customHeight="1" x14ac:dyDescent="0.3">
      <c r="A198" s="341" t="s">
        <v>81</v>
      </c>
      <c r="B198" s="342"/>
      <c r="C198" s="343"/>
      <c r="D198" s="91">
        <f>SUM(D182+D183+D192+D196+D197)</f>
        <v>60094558</v>
      </c>
      <c r="E198" s="91">
        <f t="shared" ref="E198:H198" si="67">SUM(E182+E183+E192+E196+E197)</f>
        <v>0</v>
      </c>
      <c r="F198" s="91">
        <f t="shared" si="67"/>
        <v>0</v>
      </c>
      <c r="G198" s="91">
        <f t="shared" si="67"/>
        <v>0</v>
      </c>
      <c r="H198" s="91">
        <f t="shared" si="67"/>
        <v>0</v>
      </c>
      <c r="I198" s="91">
        <f>SUM(I182+I183+I192+I196+I197)</f>
        <v>60094558</v>
      </c>
      <c r="J198" s="91">
        <f>SUM(J182+J183+J192+J196+J197)</f>
        <v>18315298</v>
      </c>
    </row>
    <row r="199" spans="1:10" x14ac:dyDescent="0.3">
      <c r="A199" s="285" t="s">
        <v>85</v>
      </c>
      <c r="B199" s="264" t="s">
        <v>46</v>
      </c>
      <c r="C199" s="12" t="s">
        <v>24</v>
      </c>
      <c r="D199" s="3">
        <v>9880165</v>
      </c>
      <c r="E199" s="3">
        <f t="shared" ref="E199:E204" si="68">I199-D199-F199-G199-H199</f>
        <v>-217403</v>
      </c>
      <c r="F199" s="3">
        <f>'2019.05.31.'!G199</f>
        <v>0</v>
      </c>
      <c r="G199" s="3">
        <f>'2019.05.31.'!H199</f>
        <v>0</v>
      </c>
      <c r="H199" s="3">
        <f>'2019.05.31.'!I199</f>
        <v>0</v>
      </c>
      <c r="I199" s="3">
        <f>'2019.05.31.'!J199</f>
        <v>9662762</v>
      </c>
      <c r="J199" s="3">
        <f>'2019.05.31.'!K199</f>
        <v>3677887</v>
      </c>
    </row>
    <row r="200" spans="1:10" x14ac:dyDescent="0.3">
      <c r="A200" s="285"/>
      <c r="B200" s="268"/>
      <c r="C200" s="12" t="s">
        <v>25</v>
      </c>
      <c r="D200" s="3">
        <v>400000</v>
      </c>
      <c r="E200" s="3">
        <f t="shared" si="68"/>
        <v>0</v>
      </c>
      <c r="F200" s="3">
        <f>'2019.05.31.'!G200</f>
        <v>0</v>
      </c>
      <c r="G200" s="3">
        <f>'2019.05.31.'!H200</f>
        <v>0</v>
      </c>
      <c r="H200" s="3">
        <f>'2019.05.31.'!I200</f>
        <v>0</v>
      </c>
      <c r="I200" s="3">
        <f>'2019.05.31.'!J200</f>
        <v>400000</v>
      </c>
      <c r="J200" s="3">
        <f>'2019.05.31.'!K200</f>
        <v>200000</v>
      </c>
    </row>
    <row r="201" spans="1:10" x14ac:dyDescent="0.3">
      <c r="A201" s="285"/>
      <c r="B201" s="268"/>
      <c r="C201" s="12" t="s">
        <v>26</v>
      </c>
      <c r="D201" s="3">
        <v>20000</v>
      </c>
      <c r="E201" s="3">
        <f t="shared" si="68"/>
        <v>0</v>
      </c>
      <c r="F201" s="3">
        <f>'2019.05.31.'!G201</f>
        <v>0</v>
      </c>
      <c r="G201" s="3">
        <f>'2019.05.31.'!H201</f>
        <v>0</v>
      </c>
      <c r="H201" s="3">
        <f>'2019.05.31.'!I201</f>
        <v>0</v>
      </c>
      <c r="I201" s="3">
        <f>'2019.05.31.'!J201</f>
        <v>20000</v>
      </c>
      <c r="J201" s="3">
        <f>'2019.05.31.'!K201</f>
        <v>0</v>
      </c>
    </row>
    <row r="202" spans="1:10" x14ac:dyDescent="0.3">
      <c r="A202" s="285"/>
      <c r="B202" s="268"/>
      <c r="C202" s="2" t="s">
        <v>27</v>
      </c>
      <c r="D202" s="3">
        <v>75000</v>
      </c>
      <c r="E202" s="3">
        <f t="shared" si="68"/>
        <v>0</v>
      </c>
      <c r="F202" s="3">
        <f>'2019.05.31.'!G202</f>
        <v>0</v>
      </c>
      <c r="G202" s="3">
        <f>'2019.05.31.'!H202</f>
        <v>0</v>
      </c>
      <c r="H202" s="3">
        <f>'2019.05.31.'!I202</f>
        <v>0</v>
      </c>
      <c r="I202" s="3">
        <f>'2019.05.31.'!J202</f>
        <v>75000</v>
      </c>
      <c r="J202" s="3">
        <f>'2019.05.31.'!K202</f>
        <v>0</v>
      </c>
    </row>
    <row r="203" spans="1:10" x14ac:dyDescent="0.3">
      <c r="A203" s="285"/>
      <c r="B203" s="268"/>
      <c r="C203" s="2" t="s">
        <v>28</v>
      </c>
      <c r="D203" s="3">
        <v>48000</v>
      </c>
      <c r="E203" s="3">
        <f t="shared" si="68"/>
        <v>0</v>
      </c>
      <c r="F203" s="3">
        <f>'2019.05.31.'!G203</f>
        <v>0</v>
      </c>
      <c r="G203" s="3">
        <f>'2019.05.31.'!H203</f>
        <v>0</v>
      </c>
      <c r="H203" s="3">
        <f>'2019.05.31.'!I203</f>
        <v>0</v>
      </c>
      <c r="I203" s="3">
        <f>'2019.05.31.'!J203</f>
        <v>48000</v>
      </c>
      <c r="J203" s="3">
        <f>'2019.05.31.'!K203</f>
        <v>24000</v>
      </c>
    </row>
    <row r="204" spans="1:10" x14ac:dyDescent="0.3">
      <c r="A204" s="285"/>
      <c r="B204" s="268"/>
      <c r="C204" s="2" t="s">
        <v>29</v>
      </c>
      <c r="D204" s="3">
        <v>264000</v>
      </c>
      <c r="E204" s="3">
        <f t="shared" si="68"/>
        <v>217403</v>
      </c>
      <c r="F204" s="3">
        <f>'2019.05.31.'!G204</f>
        <v>0</v>
      </c>
      <c r="G204" s="3">
        <f>'2019.05.31.'!H204</f>
        <v>0</v>
      </c>
      <c r="H204" s="3">
        <f>'2019.05.31.'!I204</f>
        <v>0</v>
      </c>
      <c r="I204" s="3">
        <f>'2019.05.31.'!J204</f>
        <v>481403</v>
      </c>
      <c r="J204" s="3">
        <f>'2019.05.31.'!K204</f>
        <v>303643</v>
      </c>
    </row>
    <row r="205" spans="1:10" x14ac:dyDescent="0.3">
      <c r="A205" s="285"/>
      <c r="B205" s="268"/>
      <c r="C205" s="26" t="s">
        <v>53</v>
      </c>
      <c r="D205" s="7">
        <f>SUM(D199:D204)</f>
        <v>10687165</v>
      </c>
      <c r="E205" s="7">
        <f t="shared" ref="E205:I205" si="69">SUM(E199:E204)</f>
        <v>0</v>
      </c>
      <c r="F205" s="7">
        <f t="shared" si="69"/>
        <v>0</v>
      </c>
      <c r="G205" s="7">
        <f t="shared" si="69"/>
        <v>0</v>
      </c>
      <c r="H205" s="7">
        <f t="shared" si="69"/>
        <v>0</v>
      </c>
      <c r="I205" s="7">
        <f t="shared" si="69"/>
        <v>10687165</v>
      </c>
      <c r="J205" s="7">
        <f t="shared" ref="J205" si="70">SUM(J199:J204)</f>
        <v>4205530</v>
      </c>
    </row>
    <row r="206" spans="1:10" x14ac:dyDescent="0.3">
      <c r="A206" s="285"/>
      <c r="B206" s="268"/>
      <c r="C206" s="97" t="s">
        <v>31</v>
      </c>
      <c r="D206" s="87">
        <v>2120857</v>
      </c>
      <c r="E206" s="85">
        <f t="shared" ref="E206:E212" si="71">I206-D206-F206-G206-H206</f>
        <v>0</v>
      </c>
      <c r="F206" s="88">
        <f>'2019.05.31.'!G206</f>
        <v>0</v>
      </c>
      <c r="G206" s="88">
        <f>'2019.05.31.'!H206</f>
        <v>0</v>
      </c>
      <c r="H206" s="88">
        <f>'2019.05.31.'!I206</f>
        <v>0</v>
      </c>
      <c r="I206" s="85">
        <f>'2019.05.31.'!J206</f>
        <v>2120857</v>
      </c>
      <c r="J206" s="85">
        <f>'2019.05.31.'!K206</f>
        <v>841728</v>
      </c>
    </row>
    <row r="207" spans="1:10" s="101" customFormat="1" x14ac:dyDescent="0.3">
      <c r="A207" s="285"/>
      <c r="B207" s="268"/>
      <c r="C207" s="99" t="s">
        <v>33</v>
      </c>
      <c r="D207" s="100">
        <v>0</v>
      </c>
      <c r="E207" s="3">
        <f t="shared" ref="E207" si="72">I207-D207-F207-G207-H207</f>
        <v>186928</v>
      </c>
      <c r="F207" s="47">
        <f>'2019.05.31.'!G207</f>
        <v>0</v>
      </c>
      <c r="G207" s="47">
        <f>'2019.05.31.'!H207</f>
        <v>0</v>
      </c>
      <c r="H207" s="47">
        <f>'2019.05.31.'!I207</f>
        <v>0</v>
      </c>
      <c r="I207" s="3">
        <f>'2019.05.31.'!J207</f>
        <v>186928</v>
      </c>
      <c r="J207" s="3">
        <f>'2019.05.31.'!K207</f>
        <v>17981</v>
      </c>
    </row>
    <row r="208" spans="1:10" x14ac:dyDescent="0.3">
      <c r="A208" s="285"/>
      <c r="B208" s="268"/>
      <c r="C208" s="46" t="s">
        <v>35</v>
      </c>
      <c r="D208" s="47">
        <v>0</v>
      </c>
      <c r="E208" s="3">
        <f t="shared" si="71"/>
        <v>172800</v>
      </c>
      <c r="F208" s="47">
        <f>'2019.05.31.'!G208</f>
        <v>0</v>
      </c>
      <c r="G208" s="47">
        <f>'2019.05.31.'!H208</f>
        <v>0</v>
      </c>
      <c r="H208" s="47">
        <f>'2019.05.31.'!I208</f>
        <v>0</v>
      </c>
      <c r="I208" s="3">
        <f>'2019.05.31.'!J208</f>
        <v>172800</v>
      </c>
      <c r="J208" s="3">
        <f>'2019.05.31.'!K208</f>
        <v>19481</v>
      </c>
    </row>
    <row r="209" spans="1:11" x14ac:dyDescent="0.3">
      <c r="A209" s="285"/>
      <c r="B209" s="268"/>
      <c r="C209" s="98" t="s">
        <v>38</v>
      </c>
      <c r="D209" s="47">
        <v>0</v>
      </c>
      <c r="E209" s="3">
        <f t="shared" ref="E209" si="73">I209-D209-F209-G209-H209</f>
        <v>3500</v>
      </c>
      <c r="F209" s="47">
        <f>'2019.05.31.'!G209</f>
        <v>0</v>
      </c>
      <c r="G209" s="47">
        <f>'2019.05.31.'!H209</f>
        <v>0</v>
      </c>
      <c r="H209" s="47">
        <f>'2019.05.31.'!I209</f>
        <v>0</v>
      </c>
      <c r="I209" s="3">
        <f>'2019.05.31.'!J209</f>
        <v>3500</v>
      </c>
      <c r="J209" s="3">
        <f>'2019.05.31.'!K209</f>
        <v>3500</v>
      </c>
    </row>
    <row r="210" spans="1:11" x14ac:dyDescent="0.3">
      <c r="A210" s="285"/>
      <c r="B210" s="268"/>
      <c r="C210" s="46" t="s">
        <v>42</v>
      </c>
      <c r="D210" s="47">
        <v>0</v>
      </c>
      <c r="E210" s="3">
        <f t="shared" si="71"/>
        <v>64600</v>
      </c>
      <c r="F210" s="47">
        <f>'2019.05.31.'!G210</f>
        <v>0</v>
      </c>
      <c r="G210" s="47">
        <f>'2019.05.31.'!H210</f>
        <v>0</v>
      </c>
      <c r="H210" s="47">
        <f>'2019.05.31.'!I210</f>
        <v>0</v>
      </c>
      <c r="I210" s="3">
        <f>'2019.05.31.'!J210</f>
        <v>64600</v>
      </c>
      <c r="J210" s="3">
        <f>'2019.05.31.'!K210</f>
        <v>64600</v>
      </c>
    </row>
    <row r="211" spans="1:11" x14ac:dyDescent="0.3">
      <c r="A211" s="285"/>
      <c r="B211" s="268"/>
      <c r="C211" s="46" t="s">
        <v>44</v>
      </c>
      <c r="D211" s="47">
        <v>0</v>
      </c>
      <c r="E211" s="3">
        <f t="shared" si="71"/>
        <v>111556</v>
      </c>
      <c r="F211" s="47">
        <f>'2019.05.31.'!G211</f>
        <v>0</v>
      </c>
      <c r="G211" s="47">
        <f>'2019.05.31.'!H211</f>
        <v>0</v>
      </c>
      <c r="H211" s="47">
        <f>'2019.05.31.'!I211</f>
        <v>0</v>
      </c>
      <c r="I211" s="3">
        <f>'2019.05.31.'!J211</f>
        <v>111556</v>
      </c>
      <c r="J211" s="3">
        <f>'2019.05.31.'!K211</f>
        <v>31051</v>
      </c>
    </row>
    <row r="212" spans="1:11" x14ac:dyDescent="0.3">
      <c r="A212" s="285"/>
      <c r="B212" s="268"/>
      <c r="C212" s="46" t="s">
        <v>45</v>
      </c>
      <c r="D212" s="47">
        <v>0</v>
      </c>
      <c r="E212" s="3">
        <f t="shared" si="71"/>
        <v>276854</v>
      </c>
      <c r="F212" s="47">
        <f>'2019.05.31.'!G212</f>
        <v>0</v>
      </c>
      <c r="G212" s="47">
        <f>'2019.05.31.'!H212</f>
        <v>0</v>
      </c>
      <c r="H212" s="47">
        <f>'2019.05.31.'!I212</f>
        <v>0</v>
      </c>
      <c r="I212" s="3">
        <f>'2019.05.31.'!J212</f>
        <v>276854</v>
      </c>
      <c r="J212" s="3">
        <f>'2019.05.31.'!K212</f>
        <v>184479</v>
      </c>
    </row>
    <row r="213" spans="1:11" x14ac:dyDescent="0.3">
      <c r="A213" s="263"/>
      <c r="B213" s="265"/>
      <c r="C213" s="49" t="s">
        <v>49</v>
      </c>
      <c r="D213" s="50">
        <f>SUM(D207:D212)</f>
        <v>0</v>
      </c>
      <c r="E213" s="50">
        <f>SUM(E207:E212)</f>
        <v>816238</v>
      </c>
      <c r="F213" s="50">
        <f t="shared" ref="F213:H213" si="74">SUM(F207:F212)</f>
        <v>0</v>
      </c>
      <c r="G213" s="50">
        <f t="shared" si="74"/>
        <v>0</v>
      </c>
      <c r="H213" s="50">
        <f t="shared" si="74"/>
        <v>0</v>
      </c>
      <c r="I213" s="95">
        <f>SUM(I207:I212)</f>
        <v>816238</v>
      </c>
      <c r="J213" s="95">
        <f>SUM(J207:J212)</f>
        <v>321092</v>
      </c>
    </row>
    <row r="214" spans="1:11" x14ac:dyDescent="0.3">
      <c r="A214" s="254" t="s">
        <v>68</v>
      </c>
      <c r="B214" s="279" t="s">
        <v>46</v>
      </c>
      <c r="C214" s="16" t="s">
        <v>24</v>
      </c>
      <c r="D214" s="17">
        <v>2501556</v>
      </c>
      <c r="E214" s="3">
        <f t="shared" ref="E214:E215" si="75">I214-D214-F214-G214-H214</f>
        <v>0</v>
      </c>
      <c r="F214" s="17">
        <f>'2019.05.31.'!G214</f>
        <v>0</v>
      </c>
      <c r="G214" s="17">
        <f>'2019.05.31.'!H214</f>
        <v>0</v>
      </c>
      <c r="H214" s="17">
        <f>'2019.05.31.'!I214</f>
        <v>0</v>
      </c>
      <c r="I214" s="3">
        <f>'2019.05.31.'!J214</f>
        <v>2501556</v>
      </c>
      <c r="J214" s="3">
        <f>'2019.05.31.'!K214</f>
        <v>1027065</v>
      </c>
    </row>
    <row r="215" spans="1:11" x14ac:dyDescent="0.3">
      <c r="A215" s="262"/>
      <c r="B215" s="280"/>
      <c r="C215" s="18" t="s">
        <v>31</v>
      </c>
      <c r="D215" s="19">
        <v>466569</v>
      </c>
      <c r="E215" s="3">
        <f t="shared" si="75"/>
        <v>0</v>
      </c>
      <c r="F215" s="19">
        <f>'2019.05.31.'!G215</f>
        <v>0</v>
      </c>
      <c r="G215" s="19">
        <f>'2019.05.31.'!H215</f>
        <v>0</v>
      </c>
      <c r="H215" s="19">
        <f>'2019.05.31.'!I215</f>
        <v>0</v>
      </c>
      <c r="I215" s="3">
        <f>'2019.05.31.'!J215</f>
        <v>466569</v>
      </c>
      <c r="J215" s="3">
        <f>'2019.05.31.'!K215</f>
        <v>200275</v>
      </c>
    </row>
    <row r="216" spans="1:11" s="92" customFormat="1" ht="19.5" customHeight="1" x14ac:dyDescent="0.3">
      <c r="A216" s="341" t="s">
        <v>82</v>
      </c>
      <c r="B216" s="342"/>
      <c r="C216" s="343"/>
      <c r="D216" s="94">
        <f>SUM(D205+D206+D214+D215+D213)</f>
        <v>15776147</v>
      </c>
      <c r="E216" s="94">
        <f t="shared" ref="E216:H216" si="76">SUM(E205+E206+E214+E215+E213)</f>
        <v>816238</v>
      </c>
      <c r="F216" s="94">
        <f t="shared" si="76"/>
        <v>0</v>
      </c>
      <c r="G216" s="94">
        <f t="shared" si="76"/>
        <v>0</v>
      </c>
      <c r="H216" s="94">
        <f t="shared" si="76"/>
        <v>0</v>
      </c>
      <c r="I216" s="91">
        <f>SUM(I205+I206+I214+I215+I213)</f>
        <v>16592385</v>
      </c>
      <c r="J216" s="91">
        <f>SUM(J205+J206+J214+J215+J213)</f>
        <v>6595690</v>
      </c>
    </row>
    <row r="217" spans="1:11" ht="20.25" customHeight="1" x14ac:dyDescent="0.3">
      <c r="A217" s="338" t="s">
        <v>74</v>
      </c>
      <c r="B217" s="339"/>
      <c r="C217" s="340"/>
      <c r="D217" s="90">
        <f t="shared" ref="D217" si="77">SUM(D88+D113+D135+D156+D179+D198+D216)</f>
        <v>230443641</v>
      </c>
      <c r="E217" s="90">
        <f t="shared" ref="E217:I217" si="78">SUM(E88+E113+E135+E156+E179+E198+E216)</f>
        <v>0</v>
      </c>
      <c r="F217" s="90">
        <f t="shared" si="78"/>
        <v>12000</v>
      </c>
      <c r="G217" s="90">
        <f t="shared" si="78"/>
        <v>66208</v>
      </c>
      <c r="H217" s="90">
        <f t="shared" si="78"/>
        <v>0</v>
      </c>
      <c r="I217" s="90">
        <f t="shared" si="78"/>
        <v>230521849</v>
      </c>
      <c r="J217" s="90">
        <f t="shared" ref="J217" si="79">SUM(J88+J113+J135+J156+J179+J198+J216)</f>
        <v>81431680</v>
      </c>
    </row>
    <row r="218" spans="1:11" x14ac:dyDescent="0.3">
      <c r="B218" s="5"/>
      <c r="E218" s="4"/>
      <c r="F218" s="4"/>
      <c r="G218" s="4"/>
      <c r="H218" s="4"/>
      <c r="I218" s="4"/>
    </row>
    <row r="219" spans="1:11" x14ac:dyDescent="0.3">
      <c r="B219" s="5"/>
      <c r="E219" s="4"/>
      <c r="F219" s="4"/>
      <c r="G219" s="4"/>
      <c r="H219" s="4"/>
      <c r="I219" s="4"/>
    </row>
    <row r="220" spans="1:11" x14ac:dyDescent="0.3">
      <c r="B220" s="5"/>
      <c r="E220" s="4"/>
      <c r="F220" s="4"/>
      <c r="G220" s="4"/>
      <c r="H220" s="4"/>
      <c r="I220" s="4"/>
    </row>
    <row r="221" spans="1:11" x14ac:dyDescent="0.3">
      <c r="B221" s="5"/>
      <c r="E221" s="4"/>
      <c r="F221" s="4"/>
      <c r="G221" s="4"/>
      <c r="H221" s="4"/>
      <c r="I221" s="4"/>
      <c r="J221" s="4"/>
      <c r="K221" s="39"/>
    </row>
    <row r="222" spans="1:11" x14ac:dyDescent="0.3">
      <c r="B222" s="5"/>
      <c r="E222" s="4"/>
      <c r="F222" s="4"/>
      <c r="G222" s="4"/>
      <c r="H222" s="4"/>
      <c r="I222" s="4"/>
      <c r="J222" s="4"/>
      <c r="K222" s="39"/>
    </row>
    <row r="223" spans="1:11" ht="15" thickBot="1" x14ac:dyDescent="0.35">
      <c r="B223" s="5"/>
      <c r="E223" s="4"/>
      <c r="F223" s="4"/>
      <c r="G223" s="4"/>
      <c r="H223" s="4"/>
      <c r="I223" s="4"/>
      <c r="J223" s="4"/>
      <c r="K223" s="39"/>
    </row>
    <row r="224" spans="1:11" ht="15" thickTop="1" x14ac:dyDescent="0.3">
      <c r="A224" s="283" t="s">
        <v>83</v>
      </c>
      <c r="B224" s="283"/>
      <c r="C224" s="283"/>
      <c r="D224" s="283"/>
      <c r="E224" s="283"/>
      <c r="F224" s="283"/>
      <c r="G224" s="283"/>
      <c r="H224" s="283"/>
      <c r="I224" s="283"/>
      <c r="J224" s="283"/>
      <c r="K224" s="283"/>
    </row>
    <row r="225" spans="1:10" s="75" customFormat="1" ht="28.8" x14ac:dyDescent="0.3">
      <c r="A225" s="323" t="s">
        <v>0</v>
      </c>
      <c r="B225" s="324"/>
      <c r="C225" s="71" t="s">
        <v>3</v>
      </c>
      <c r="D225" s="71" t="s">
        <v>4</v>
      </c>
      <c r="E225" s="72" t="s">
        <v>70</v>
      </c>
      <c r="F225" s="105" t="s">
        <v>102</v>
      </c>
      <c r="G225" s="105" t="s">
        <v>101</v>
      </c>
      <c r="H225" s="73" t="s">
        <v>71</v>
      </c>
      <c r="I225" s="73" t="s">
        <v>96</v>
      </c>
      <c r="J225" s="74" t="s">
        <v>95</v>
      </c>
    </row>
    <row r="226" spans="1:10" x14ac:dyDescent="0.3">
      <c r="A226" s="325"/>
      <c r="B226" s="326"/>
      <c r="C226" s="33" t="s">
        <v>16</v>
      </c>
      <c r="D226" s="34">
        <f t="shared" ref="D226:D227" si="80">D5+D14+D16+D18+D20+D22</f>
        <v>117230959</v>
      </c>
      <c r="E226" s="34">
        <f t="shared" ref="E226:J226" si="81">E5+E14+E16+E18+E20+E22</f>
        <v>0</v>
      </c>
      <c r="F226" s="34">
        <f t="shared" si="81"/>
        <v>0</v>
      </c>
      <c r="G226" s="34">
        <f t="shared" si="81"/>
        <v>66208</v>
      </c>
      <c r="H226" s="34">
        <f t="shared" si="81"/>
        <v>0</v>
      </c>
      <c r="I226" s="34">
        <f t="shared" si="81"/>
        <v>117297167</v>
      </c>
      <c r="J226" s="34">
        <f t="shared" si="81"/>
        <v>37352830</v>
      </c>
    </row>
    <row r="227" spans="1:10" x14ac:dyDescent="0.3">
      <c r="A227" s="325"/>
      <c r="B227" s="326"/>
      <c r="C227" s="33" t="s">
        <v>17</v>
      </c>
      <c r="D227" s="34">
        <f t="shared" si="80"/>
        <v>16012810</v>
      </c>
      <c r="E227" s="34">
        <f t="shared" ref="E227:J227" si="82">E6+E15+E17+E19+E21+E23</f>
        <v>0</v>
      </c>
      <c r="F227" s="34">
        <f t="shared" si="82"/>
        <v>0</v>
      </c>
      <c r="G227" s="34">
        <f t="shared" si="82"/>
        <v>0</v>
      </c>
      <c r="H227" s="34">
        <f t="shared" si="82"/>
        <v>0</v>
      </c>
      <c r="I227" s="34">
        <f t="shared" si="82"/>
        <v>16012810</v>
      </c>
      <c r="J227" s="34">
        <f t="shared" si="82"/>
        <v>16012810</v>
      </c>
    </row>
    <row r="228" spans="1:10" x14ac:dyDescent="0.3">
      <c r="A228" s="325"/>
      <c r="B228" s="326"/>
      <c r="C228" s="33" t="s">
        <v>18</v>
      </c>
      <c r="D228" s="34">
        <f t="shared" ref="D228:J230" si="83">D7</f>
        <v>96985672</v>
      </c>
      <c r="E228" s="34">
        <f t="shared" si="83"/>
        <v>0</v>
      </c>
      <c r="F228" s="34">
        <f t="shared" si="83"/>
        <v>0</v>
      </c>
      <c r="G228" s="34">
        <f t="shared" si="83"/>
        <v>0</v>
      </c>
      <c r="H228" s="34">
        <f t="shared" si="83"/>
        <v>0</v>
      </c>
      <c r="I228" s="34">
        <f t="shared" si="83"/>
        <v>96985672</v>
      </c>
      <c r="J228" s="34">
        <f t="shared" si="83"/>
        <v>41271953</v>
      </c>
    </row>
    <row r="229" spans="1:10" x14ac:dyDescent="0.3">
      <c r="A229" s="325"/>
      <c r="B229" s="326"/>
      <c r="C229" s="35" t="s">
        <v>22</v>
      </c>
      <c r="D229" s="34">
        <f t="shared" si="83"/>
        <v>200000</v>
      </c>
      <c r="E229" s="34">
        <f t="shared" si="83"/>
        <v>0</v>
      </c>
      <c r="F229" s="34">
        <f t="shared" si="83"/>
        <v>0</v>
      </c>
      <c r="G229" s="34">
        <f t="shared" si="83"/>
        <v>0</v>
      </c>
      <c r="H229" s="34">
        <f t="shared" si="83"/>
        <v>0</v>
      </c>
      <c r="I229" s="34">
        <f t="shared" si="83"/>
        <v>200000</v>
      </c>
      <c r="J229" s="34">
        <f t="shared" si="83"/>
        <v>0</v>
      </c>
    </row>
    <row r="230" spans="1:10" x14ac:dyDescent="0.3">
      <c r="A230" s="325"/>
      <c r="B230" s="326"/>
      <c r="C230" s="35" t="s">
        <v>19</v>
      </c>
      <c r="D230" s="34">
        <f t="shared" si="83"/>
        <v>13200</v>
      </c>
      <c r="E230" s="34">
        <f t="shared" si="83"/>
        <v>-1660</v>
      </c>
      <c r="F230" s="34">
        <f t="shared" si="83"/>
        <v>5000</v>
      </c>
      <c r="G230" s="34">
        <f t="shared" si="83"/>
        <v>0</v>
      </c>
      <c r="H230" s="34">
        <f t="shared" si="83"/>
        <v>0</v>
      </c>
      <c r="I230" s="34">
        <f t="shared" si="83"/>
        <v>16540</v>
      </c>
      <c r="J230" s="34">
        <f t="shared" si="83"/>
        <v>5379</v>
      </c>
    </row>
    <row r="231" spans="1:10" x14ac:dyDescent="0.3">
      <c r="A231" s="325"/>
      <c r="B231" s="326"/>
      <c r="C231" s="35" t="s">
        <v>84</v>
      </c>
      <c r="D231" s="34">
        <f>D13+D11</f>
        <v>0</v>
      </c>
      <c r="E231" s="34">
        <f t="shared" ref="E231:J231" si="84">E13+E11</f>
        <v>2239</v>
      </c>
      <c r="F231" s="34">
        <f t="shared" si="84"/>
        <v>7000</v>
      </c>
      <c r="G231" s="34">
        <f t="shared" si="84"/>
        <v>0</v>
      </c>
      <c r="H231" s="34">
        <f t="shared" si="84"/>
        <v>0</v>
      </c>
      <c r="I231" s="34">
        <f t="shared" si="84"/>
        <v>9239</v>
      </c>
      <c r="J231" s="34">
        <f t="shared" si="84"/>
        <v>3235</v>
      </c>
    </row>
    <row r="232" spans="1:10" x14ac:dyDescent="0.3">
      <c r="A232" s="325"/>
      <c r="B232" s="326"/>
      <c r="C232" s="33" t="s">
        <v>20</v>
      </c>
      <c r="D232" s="34">
        <f>D10+D12</f>
        <v>1000</v>
      </c>
      <c r="E232" s="34">
        <f t="shared" ref="E232:J232" si="85">E10+E12</f>
        <v>-579</v>
      </c>
      <c r="F232" s="34">
        <f t="shared" si="85"/>
        <v>0</v>
      </c>
      <c r="G232" s="34">
        <f t="shared" si="85"/>
        <v>0</v>
      </c>
      <c r="H232" s="34">
        <f t="shared" si="85"/>
        <v>0</v>
      </c>
      <c r="I232" s="34">
        <f t="shared" si="85"/>
        <v>421</v>
      </c>
      <c r="J232" s="34">
        <f t="shared" si="85"/>
        <v>173</v>
      </c>
    </row>
    <row r="233" spans="1:10" x14ac:dyDescent="0.3">
      <c r="A233" s="325"/>
      <c r="B233" s="326"/>
      <c r="C233" s="63" t="s">
        <v>86</v>
      </c>
      <c r="D233" s="64">
        <f>D13+D12+D11+D10+D9</f>
        <v>14200</v>
      </c>
      <c r="E233" s="64">
        <f t="shared" ref="E233:J233" si="86">E13+E12+E11+E10+E9</f>
        <v>0</v>
      </c>
      <c r="F233" s="64">
        <f t="shared" si="86"/>
        <v>12000</v>
      </c>
      <c r="G233" s="64">
        <f t="shared" si="86"/>
        <v>0</v>
      </c>
      <c r="H233" s="64">
        <f t="shared" si="86"/>
        <v>0</v>
      </c>
      <c r="I233" s="64">
        <f t="shared" si="86"/>
        <v>26200</v>
      </c>
      <c r="J233" s="64">
        <f t="shared" si="86"/>
        <v>8787</v>
      </c>
    </row>
    <row r="234" spans="1:10" x14ac:dyDescent="0.3">
      <c r="A234" s="325"/>
      <c r="B234" s="326"/>
      <c r="C234" s="63" t="s">
        <v>87</v>
      </c>
      <c r="D234" s="64">
        <f>D23+D21+D19+D17+D15+D7+D6</f>
        <v>112998482</v>
      </c>
      <c r="E234" s="64">
        <f t="shared" ref="E234:J234" si="87">E23+E21+E19+E17+E15+E7+E6</f>
        <v>0</v>
      </c>
      <c r="F234" s="64">
        <f t="shared" si="87"/>
        <v>0</v>
      </c>
      <c r="G234" s="64">
        <f t="shared" si="87"/>
        <v>0</v>
      </c>
      <c r="H234" s="64">
        <f t="shared" si="87"/>
        <v>0</v>
      </c>
      <c r="I234" s="64">
        <f t="shared" si="87"/>
        <v>112998482</v>
      </c>
      <c r="J234" s="64">
        <f t="shared" si="87"/>
        <v>57284763</v>
      </c>
    </row>
    <row r="235" spans="1:10" x14ac:dyDescent="0.3">
      <c r="A235" s="325"/>
      <c r="B235" s="326"/>
      <c r="C235" s="63" t="s">
        <v>94</v>
      </c>
      <c r="D235" s="64">
        <f>D5+D6+D7+D8+D9+D10+D11+D12+D13+D14+D15+D16+D17+D18+D19+D20+D21+D22+D23</f>
        <v>230443641</v>
      </c>
      <c r="E235" s="64">
        <f t="shared" ref="E235:J235" si="88">E5+E6+E7+E8+E9+E10+E11+E12+E13+E14+E15+E16+E17+E18+E19+E20+E21+E22+E23</f>
        <v>0</v>
      </c>
      <c r="F235" s="64">
        <f t="shared" si="88"/>
        <v>12000</v>
      </c>
      <c r="G235" s="64">
        <f t="shared" si="88"/>
        <v>66208</v>
      </c>
      <c r="H235" s="64">
        <f t="shared" si="88"/>
        <v>0</v>
      </c>
      <c r="I235" s="64">
        <f t="shared" si="88"/>
        <v>230521849</v>
      </c>
      <c r="J235" s="64">
        <f t="shared" si="88"/>
        <v>94646380</v>
      </c>
    </row>
    <row r="236" spans="1:10" x14ac:dyDescent="0.3">
      <c r="A236" s="325"/>
      <c r="B236" s="326"/>
      <c r="C236" s="33" t="s">
        <v>24</v>
      </c>
      <c r="D236" s="34">
        <f>D89+D111+D114+D133+D136+D154+D157+D177+D199+D214+D180+D86+D84+D52+D25</f>
        <v>128356144</v>
      </c>
      <c r="E236" s="34">
        <f t="shared" ref="E236:J236" si="89">E89+E111+E114+E133+E136+E154+E157+E177+E199+E214+E180+E86+E84+E52+E25</f>
        <v>-473870</v>
      </c>
      <c r="F236" s="34">
        <f t="shared" si="89"/>
        <v>0</v>
      </c>
      <c r="G236" s="34">
        <f t="shared" si="89"/>
        <v>55404</v>
      </c>
      <c r="H236" s="34">
        <f t="shared" si="89"/>
        <v>0</v>
      </c>
      <c r="I236" s="34">
        <f t="shared" si="89"/>
        <v>127937678</v>
      </c>
      <c r="J236" s="34">
        <f t="shared" si="89"/>
        <v>45581612</v>
      </c>
    </row>
    <row r="237" spans="1:10" x14ac:dyDescent="0.3">
      <c r="A237" s="325"/>
      <c r="B237" s="326"/>
      <c r="C237" s="33" t="s">
        <v>47</v>
      </c>
      <c r="D237" s="34">
        <f t="shared" ref="D237:J238" si="90">D53</f>
        <v>2040480</v>
      </c>
      <c r="E237" s="34">
        <f t="shared" si="90"/>
        <v>0</v>
      </c>
      <c r="F237" s="34">
        <f t="shared" si="90"/>
        <v>0</v>
      </c>
      <c r="G237" s="34">
        <f t="shared" si="90"/>
        <v>0</v>
      </c>
      <c r="H237" s="34">
        <f t="shared" si="90"/>
        <v>0</v>
      </c>
      <c r="I237" s="34">
        <f t="shared" si="90"/>
        <v>2040480</v>
      </c>
      <c r="J237" s="34">
        <f t="shared" si="90"/>
        <v>785829</v>
      </c>
    </row>
    <row r="238" spans="1:10" x14ac:dyDescent="0.3">
      <c r="A238" s="325"/>
      <c r="B238" s="326"/>
      <c r="C238" s="33" t="s">
        <v>48</v>
      </c>
      <c r="D238" s="34">
        <f t="shared" si="90"/>
        <v>0</v>
      </c>
      <c r="E238" s="34">
        <f t="shared" si="90"/>
        <v>0</v>
      </c>
      <c r="F238" s="34">
        <f t="shared" si="90"/>
        <v>0</v>
      </c>
      <c r="G238" s="34">
        <f t="shared" si="90"/>
        <v>0</v>
      </c>
      <c r="H238" s="34">
        <f t="shared" si="90"/>
        <v>0</v>
      </c>
      <c r="I238" s="34">
        <f t="shared" si="90"/>
        <v>0</v>
      </c>
      <c r="J238" s="34">
        <f t="shared" si="90"/>
        <v>0</v>
      </c>
    </row>
    <row r="239" spans="1:10" x14ac:dyDescent="0.3">
      <c r="A239" s="325"/>
      <c r="B239" s="326"/>
      <c r="C239" s="35" t="s">
        <v>25</v>
      </c>
      <c r="D239" s="34">
        <f t="shared" ref="D239:J240" si="91">D200+D158+D137+D115+D90+D55+D26</f>
        <v>3992000</v>
      </c>
      <c r="E239" s="34">
        <f t="shared" si="91"/>
        <v>0</v>
      </c>
      <c r="F239" s="34">
        <f t="shared" si="91"/>
        <v>0</v>
      </c>
      <c r="G239" s="34">
        <f t="shared" si="91"/>
        <v>0</v>
      </c>
      <c r="H239" s="34">
        <f t="shared" si="91"/>
        <v>0</v>
      </c>
      <c r="I239" s="34">
        <f t="shared" si="91"/>
        <v>3992000</v>
      </c>
      <c r="J239" s="34">
        <f t="shared" si="91"/>
        <v>1887500</v>
      </c>
    </row>
    <row r="240" spans="1:10" x14ac:dyDescent="0.3">
      <c r="A240" s="325"/>
      <c r="B240" s="326"/>
      <c r="C240" s="35" t="s">
        <v>26</v>
      </c>
      <c r="D240" s="34">
        <f t="shared" si="91"/>
        <v>200000</v>
      </c>
      <c r="E240" s="34">
        <f t="shared" si="91"/>
        <v>0</v>
      </c>
      <c r="F240" s="34">
        <f t="shared" si="91"/>
        <v>0</v>
      </c>
      <c r="G240" s="34">
        <f t="shared" si="91"/>
        <v>0</v>
      </c>
      <c r="H240" s="34">
        <f t="shared" si="91"/>
        <v>0</v>
      </c>
      <c r="I240" s="34">
        <f t="shared" si="91"/>
        <v>200000</v>
      </c>
      <c r="J240" s="34">
        <f t="shared" si="91"/>
        <v>0</v>
      </c>
    </row>
    <row r="241" spans="1:10" x14ac:dyDescent="0.3">
      <c r="A241" s="325"/>
      <c r="B241" s="326"/>
      <c r="C241" s="33" t="s">
        <v>27</v>
      </c>
      <c r="D241" s="34">
        <f>D202+D139+D92+D57+D28</f>
        <v>1661400</v>
      </c>
      <c r="E241" s="34">
        <f t="shared" ref="E241:J241" si="92">E202+E139+E92+E57+E28</f>
        <v>0</v>
      </c>
      <c r="F241" s="34">
        <f t="shared" si="92"/>
        <v>0</v>
      </c>
      <c r="G241" s="34">
        <f t="shared" si="92"/>
        <v>0</v>
      </c>
      <c r="H241" s="34">
        <f t="shared" si="92"/>
        <v>0</v>
      </c>
      <c r="I241" s="34">
        <f t="shared" si="92"/>
        <v>1661400</v>
      </c>
      <c r="J241" s="34">
        <f t="shared" si="92"/>
        <v>435776</v>
      </c>
    </row>
    <row r="242" spans="1:10" x14ac:dyDescent="0.3">
      <c r="A242" s="325"/>
      <c r="B242" s="326"/>
      <c r="C242" s="35" t="s">
        <v>28</v>
      </c>
      <c r="D242" s="34">
        <f>D203+D160+D140+D117+D58+D29+D93</f>
        <v>481000</v>
      </c>
      <c r="E242" s="34">
        <f t="shared" ref="E242:J242" si="93">E203+E160+E140+E117+E58+E29+E93</f>
        <v>0</v>
      </c>
      <c r="F242" s="34">
        <f t="shared" si="93"/>
        <v>0</v>
      </c>
      <c r="G242" s="34">
        <f t="shared" si="93"/>
        <v>0</v>
      </c>
      <c r="H242" s="34">
        <f t="shared" si="93"/>
        <v>0</v>
      </c>
      <c r="I242" s="34">
        <f t="shared" si="93"/>
        <v>481000</v>
      </c>
      <c r="J242" s="34">
        <f t="shared" si="93"/>
        <v>222000</v>
      </c>
    </row>
    <row r="243" spans="1:10" x14ac:dyDescent="0.3">
      <c r="A243" s="325"/>
      <c r="B243" s="326"/>
      <c r="C243" s="33" t="s">
        <v>29</v>
      </c>
      <c r="D243" s="34">
        <f>D204+D175+D161+D141+D118+D109+D94+D82+D80+D59+D30+D131</f>
        <v>3451400</v>
      </c>
      <c r="E243" s="34">
        <f t="shared" ref="E243:J243" si="94">E204+E175+E161+E141+E118+E109+E94+E82+E80+E59+E30+E131</f>
        <v>473870</v>
      </c>
      <c r="F243" s="34">
        <f t="shared" si="94"/>
        <v>0</v>
      </c>
      <c r="G243" s="34">
        <f t="shared" si="94"/>
        <v>0</v>
      </c>
      <c r="H243" s="34">
        <f t="shared" si="94"/>
        <v>0</v>
      </c>
      <c r="I243" s="34">
        <f t="shared" si="94"/>
        <v>3925270</v>
      </c>
      <c r="J243" s="34">
        <f t="shared" si="94"/>
        <v>1284740</v>
      </c>
    </row>
    <row r="244" spans="1:10" x14ac:dyDescent="0.3">
      <c r="A244" s="325"/>
      <c r="B244" s="326"/>
      <c r="C244" s="35" t="s">
        <v>30</v>
      </c>
      <c r="D244" s="34">
        <f>D162+D142+D119+D60+D31+D181</f>
        <v>200000</v>
      </c>
      <c r="E244" s="34">
        <f t="shared" ref="E244:J244" si="95">E162+E142+E119+E60+E31+E181</f>
        <v>10500000</v>
      </c>
      <c r="F244" s="34">
        <f t="shared" si="95"/>
        <v>0</v>
      </c>
      <c r="G244" s="34">
        <f t="shared" si="95"/>
        <v>0</v>
      </c>
      <c r="H244" s="34">
        <f t="shared" si="95"/>
        <v>0</v>
      </c>
      <c r="I244" s="34">
        <f t="shared" si="95"/>
        <v>10700000</v>
      </c>
      <c r="J244" s="34">
        <f t="shared" si="95"/>
        <v>3000</v>
      </c>
    </row>
    <row r="245" spans="1:10" x14ac:dyDescent="0.3">
      <c r="A245" s="325"/>
      <c r="B245" s="326"/>
      <c r="C245" s="63" t="s">
        <v>53</v>
      </c>
      <c r="D245" s="64">
        <f>D205+D182+D163+D143+D214+D177+D154+D133+D131+D175+D120+D111+D109+D96+D86+D84+D82+D80+D61+D32</f>
        <v>140382424</v>
      </c>
      <c r="E245" s="64">
        <f t="shared" ref="E245:J245" si="96">E205+E182+E163+E143+E214+E177+E154+E133+E131+E175+E120+E111+E109+E96+E86+E84+E82+E80+E61+E32</f>
        <v>10500000</v>
      </c>
      <c r="F245" s="64">
        <f t="shared" si="96"/>
        <v>0</v>
      </c>
      <c r="G245" s="64">
        <f t="shared" si="96"/>
        <v>55404</v>
      </c>
      <c r="H245" s="64">
        <f t="shared" si="96"/>
        <v>0</v>
      </c>
      <c r="I245" s="64">
        <f t="shared" si="96"/>
        <v>150937828</v>
      </c>
      <c r="J245" s="64">
        <f t="shared" si="96"/>
        <v>50200457</v>
      </c>
    </row>
    <row r="246" spans="1:10" x14ac:dyDescent="0.3">
      <c r="A246" s="325"/>
      <c r="B246" s="326"/>
      <c r="C246" s="65" t="s">
        <v>31</v>
      </c>
      <c r="D246" s="64">
        <f>D206+D183+D178+D176+D215+D164+D155+D144+D134+D132+D121+D112+D110+D97+D87+D85+D83+D81+D62+D33</f>
        <v>27536677</v>
      </c>
      <c r="E246" s="64">
        <f t="shared" ref="E246:J246" si="97">E206+E183+E178+E176+E215+E164+E155+E144+E134+E132+E121+E112+E110+E97+E87+E85+E83+E81+E62+E33</f>
        <v>0</v>
      </c>
      <c r="F246" s="64">
        <f t="shared" si="97"/>
        <v>0</v>
      </c>
      <c r="G246" s="64">
        <f t="shared" si="97"/>
        <v>10804</v>
      </c>
      <c r="H246" s="64">
        <f t="shared" si="97"/>
        <v>0</v>
      </c>
      <c r="I246" s="64">
        <f t="shared" si="97"/>
        <v>27547481</v>
      </c>
      <c r="J246" s="64">
        <f t="shared" si="97"/>
        <v>10355450</v>
      </c>
    </row>
    <row r="247" spans="1:10" x14ac:dyDescent="0.3">
      <c r="A247" s="325"/>
      <c r="B247" s="326"/>
      <c r="C247" s="33" t="s">
        <v>32</v>
      </c>
      <c r="D247" s="34">
        <f>D165+D145+D122+D98+D63+D34</f>
        <v>540000</v>
      </c>
      <c r="E247" s="34">
        <f t="shared" ref="E247:J247" si="98">E165+E145+E122+E98+E63+E34</f>
        <v>0</v>
      </c>
      <c r="F247" s="34">
        <f t="shared" si="98"/>
        <v>0</v>
      </c>
      <c r="G247" s="34">
        <f t="shared" si="98"/>
        <v>0</v>
      </c>
      <c r="H247" s="34">
        <f t="shared" si="98"/>
        <v>0</v>
      </c>
      <c r="I247" s="34">
        <f t="shared" si="98"/>
        <v>540000</v>
      </c>
      <c r="J247" s="34">
        <f t="shared" si="98"/>
        <v>35559</v>
      </c>
    </row>
    <row r="248" spans="1:10" x14ac:dyDescent="0.3">
      <c r="A248" s="325"/>
      <c r="B248" s="326"/>
      <c r="C248" s="35" t="s">
        <v>33</v>
      </c>
      <c r="D248" s="34">
        <f>D184+D166+D146+D123+D99+D64+D35+D207</f>
        <v>1700000</v>
      </c>
      <c r="E248" s="34">
        <f t="shared" ref="E248:J248" si="99">E184+E166+E146+E123+E99+E64+E35+E207</f>
        <v>186928</v>
      </c>
      <c r="F248" s="34">
        <f t="shared" si="99"/>
        <v>0</v>
      </c>
      <c r="G248" s="34">
        <f t="shared" si="99"/>
        <v>0</v>
      </c>
      <c r="H248" s="34">
        <f t="shared" si="99"/>
        <v>0</v>
      </c>
      <c r="I248" s="34">
        <f t="shared" si="99"/>
        <v>1886928</v>
      </c>
      <c r="J248" s="34">
        <f t="shared" si="99"/>
        <v>31053</v>
      </c>
    </row>
    <row r="249" spans="1:10" x14ac:dyDescent="0.3">
      <c r="A249" s="325"/>
      <c r="B249" s="326"/>
      <c r="C249" s="33" t="s">
        <v>34</v>
      </c>
      <c r="D249" s="34">
        <f>D167+D147+D124+D100+D65+D36</f>
        <v>1036000</v>
      </c>
      <c r="E249" s="34">
        <f t="shared" ref="E249:J249" si="100">E167+E147+E124+E100+E65+E36</f>
        <v>-48000</v>
      </c>
      <c r="F249" s="34">
        <f t="shared" si="100"/>
        <v>0</v>
      </c>
      <c r="G249" s="34">
        <f t="shared" si="100"/>
        <v>0</v>
      </c>
      <c r="H249" s="34">
        <f t="shared" si="100"/>
        <v>0</v>
      </c>
      <c r="I249" s="34">
        <f t="shared" si="100"/>
        <v>988000</v>
      </c>
      <c r="J249" s="34">
        <f t="shared" si="100"/>
        <v>104987</v>
      </c>
    </row>
    <row r="250" spans="1:10" x14ac:dyDescent="0.3">
      <c r="A250" s="325"/>
      <c r="B250" s="326"/>
      <c r="C250" s="33" t="s">
        <v>35</v>
      </c>
      <c r="D250" s="34">
        <f>D208+D168+D101+D66+D37</f>
        <v>610000</v>
      </c>
      <c r="E250" s="34">
        <f t="shared" ref="E250:J250" si="101">E208+E168+E101+E66+E37</f>
        <v>0</v>
      </c>
      <c r="F250" s="34">
        <f t="shared" si="101"/>
        <v>7000</v>
      </c>
      <c r="G250" s="34">
        <f t="shared" si="101"/>
        <v>0</v>
      </c>
      <c r="H250" s="34">
        <f t="shared" si="101"/>
        <v>0</v>
      </c>
      <c r="I250" s="34">
        <f t="shared" si="101"/>
        <v>617000</v>
      </c>
      <c r="J250" s="34">
        <f t="shared" si="101"/>
        <v>93140</v>
      </c>
    </row>
    <row r="251" spans="1:10" x14ac:dyDescent="0.3">
      <c r="A251" s="325"/>
      <c r="B251" s="326"/>
      <c r="C251" s="33" t="s">
        <v>36</v>
      </c>
      <c r="D251" s="34">
        <f>D102+D67+D38</f>
        <v>1739080</v>
      </c>
      <c r="E251" s="34">
        <f t="shared" ref="E251:J251" si="102">E102+E67+E38</f>
        <v>0</v>
      </c>
      <c r="F251" s="34">
        <f t="shared" si="102"/>
        <v>0</v>
      </c>
      <c r="G251" s="34">
        <f t="shared" si="102"/>
        <v>0</v>
      </c>
      <c r="H251" s="34">
        <f t="shared" si="102"/>
        <v>0</v>
      </c>
      <c r="I251" s="34">
        <f t="shared" si="102"/>
        <v>1739080</v>
      </c>
      <c r="J251" s="34">
        <f t="shared" si="102"/>
        <v>921169</v>
      </c>
    </row>
    <row r="252" spans="1:10" x14ac:dyDescent="0.3">
      <c r="A252" s="325"/>
      <c r="B252" s="326"/>
      <c r="C252" s="38" t="s">
        <v>37</v>
      </c>
      <c r="D252" s="34">
        <f>D185+D68+D39</f>
        <v>356000</v>
      </c>
      <c r="E252" s="34">
        <f t="shared" ref="E252:J252" si="103">E185+E68+E39</f>
        <v>0</v>
      </c>
      <c r="F252" s="34">
        <f t="shared" si="103"/>
        <v>0</v>
      </c>
      <c r="G252" s="34">
        <f t="shared" si="103"/>
        <v>0</v>
      </c>
      <c r="H252" s="34">
        <f t="shared" si="103"/>
        <v>0</v>
      </c>
      <c r="I252" s="34">
        <f t="shared" si="103"/>
        <v>356000</v>
      </c>
      <c r="J252" s="34">
        <f t="shared" si="103"/>
        <v>0</v>
      </c>
    </row>
    <row r="253" spans="1:10" x14ac:dyDescent="0.3">
      <c r="A253" s="325"/>
      <c r="B253" s="326"/>
      <c r="C253" s="33" t="s">
        <v>38</v>
      </c>
      <c r="D253" s="34">
        <f>D169+D148+D125+D103+D69+D40+D209</f>
        <v>1394000</v>
      </c>
      <c r="E253" s="34">
        <f t="shared" ref="E253:J253" si="104">E169+E148+E125+E103+E69+E40+E209</f>
        <v>0</v>
      </c>
      <c r="F253" s="34">
        <f t="shared" si="104"/>
        <v>0</v>
      </c>
      <c r="G253" s="34">
        <f t="shared" si="104"/>
        <v>0</v>
      </c>
      <c r="H253" s="34">
        <f t="shared" si="104"/>
        <v>0</v>
      </c>
      <c r="I253" s="34">
        <f t="shared" si="104"/>
        <v>1394000</v>
      </c>
      <c r="J253" s="34">
        <f t="shared" si="104"/>
        <v>207584</v>
      </c>
    </row>
    <row r="254" spans="1:10" x14ac:dyDescent="0.3">
      <c r="A254" s="325"/>
      <c r="B254" s="326"/>
      <c r="C254" s="33" t="s">
        <v>39</v>
      </c>
      <c r="D254" s="34">
        <f>D41</f>
        <v>13200</v>
      </c>
      <c r="E254" s="34">
        <f t="shared" ref="E254:J254" si="105">E41</f>
        <v>-1660</v>
      </c>
      <c r="F254" s="34">
        <f t="shared" si="105"/>
        <v>5000</v>
      </c>
      <c r="G254" s="34">
        <f t="shared" si="105"/>
        <v>0</v>
      </c>
      <c r="H254" s="34">
        <f t="shared" si="105"/>
        <v>0</v>
      </c>
      <c r="I254" s="34">
        <f t="shared" si="105"/>
        <v>16540</v>
      </c>
      <c r="J254" s="34">
        <f t="shared" si="105"/>
        <v>5379</v>
      </c>
    </row>
    <row r="255" spans="1:10" x14ac:dyDescent="0.3">
      <c r="A255" s="325"/>
      <c r="B255" s="326"/>
      <c r="C255" s="36" t="s">
        <v>40</v>
      </c>
      <c r="D255" s="34">
        <f t="shared" ref="D255:I256" si="106">D186+D170+D149+D126+D104+D70+D42</f>
        <v>16415104</v>
      </c>
      <c r="E255" s="34">
        <f t="shared" si="106"/>
        <v>0</v>
      </c>
      <c r="F255" s="34">
        <f t="shared" si="106"/>
        <v>0</v>
      </c>
      <c r="G255" s="34">
        <f t="shared" si="106"/>
        <v>0</v>
      </c>
      <c r="H255" s="34">
        <f t="shared" si="106"/>
        <v>0</v>
      </c>
      <c r="I255" s="34">
        <f t="shared" si="106"/>
        <v>16415104</v>
      </c>
      <c r="J255" s="34">
        <f t="shared" ref="J255" si="107">J186+J170+J149+J126+J104+J70+J42</f>
        <v>311518</v>
      </c>
    </row>
    <row r="256" spans="1:10" x14ac:dyDescent="0.3">
      <c r="A256" s="325"/>
      <c r="B256" s="326"/>
      <c r="C256" s="33" t="s">
        <v>41</v>
      </c>
      <c r="D256" s="34">
        <f t="shared" si="106"/>
        <v>26876743</v>
      </c>
      <c r="E256" s="34">
        <f t="shared" si="106"/>
        <v>-18718057</v>
      </c>
      <c r="F256" s="34">
        <f t="shared" si="106"/>
        <v>0</v>
      </c>
      <c r="G256" s="34">
        <f t="shared" si="106"/>
        <v>0</v>
      </c>
      <c r="H256" s="34">
        <f t="shared" si="106"/>
        <v>0</v>
      </c>
      <c r="I256" s="34">
        <f t="shared" si="106"/>
        <v>8158686</v>
      </c>
      <c r="J256" s="34">
        <f t="shared" ref="J256" si="108">J187+J171+J150+J127+J105+J71+J43</f>
        <v>6024163</v>
      </c>
    </row>
    <row r="257" spans="1:11" x14ac:dyDescent="0.3">
      <c r="A257" s="325"/>
      <c r="B257" s="326"/>
      <c r="C257" s="35" t="s">
        <v>42</v>
      </c>
      <c r="D257" s="34">
        <f>D210+D188+D172+D151+D128+D106+D72+D44</f>
        <v>2852000</v>
      </c>
      <c r="E257" s="34">
        <f t="shared" ref="E257:J257" si="109">E210+E188+E172+E151+E128+E106+E72+E44</f>
        <v>0</v>
      </c>
      <c r="F257" s="34">
        <f t="shared" si="109"/>
        <v>0</v>
      </c>
      <c r="G257" s="34">
        <f t="shared" si="109"/>
        <v>0</v>
      </c>
      <c r="H257" s="34">
        <f t="shared" si="109"/>
        <v>0</v>
      </c>
      <c r="I257" s="34">
        <f t="shared" si="109"/>
        <v>2852000</v>
      </c>
      <c r="J257" s="34">
        <f t="shared" si="109"/>
        <v>692170</v>
      </c>
    </row>
    <row r="258" spans="1:11" x14ac:dyDescent="0.3">
      <c r="A258" s="325"/>
      <c r="B258" s="326"/>
      <c r="C258" s="35" t="s">
        <v>43</v>
      </c>
      <c r="D258" s="34">
        <f>D45+D73+D189</f>
        <v>290000</v>
      </c>
      <c r="E258" s="34">
        <f t="shared" ref="E258:J258" si="110">E45+E73+E189</f>
        <v>0</v>
      </c>
      <c r="F258" s="34">
        <f t="shared" si="110"/>
        <v>0</v>
      </c>
      <c r="G258" s="34">
        <f t="shared" si="110"/>
        <v>0</v>
      </c>
      <c r="H258" s="34">
        <f t="shared" si="110"/>
        <v>0</v>
      </c>
      <c r="I258" s="34">
        <f t="shared" si="110"/>
        <v>290000</v>
      </c>
      <c r="J258" s="34">
        <f t="shared" si="110"/>
        <v>0</v>
      </c>
    </row>
    <row r="259" spans="1:11" x14ac:dyDescent="0.3">
      <c r="A259" s="325"/>
      <c r="B259" s="326"/>
      <c r="C259" s="33" t="s">
        <v>44</v>
      </c>
      <c r="D259" s="34">
        <f>D211+D190+D173+D152+D129+D107+D74+D46</f>
        <v>7754652</v>
      </c>
      <c r="E259" s="34">
        <f t="shared" ref="E259:J259" si="111">E211+E190+E173+E152+E129+E107+E74+E46</f>
        <v>-2419211</v>
      </c>
      <c r="F259" s="34">
        <f t="shared" si="111"/>
        <v>0</v>
      </c>
      <c r="G259" s="34">
        <f t="shared" si="111"/>
        <v>0</v>
      </c>
      <c r="H259" s="34">
        <f t="shared" si="111"/>
        <v>0</v>
      </c>
      <c r="I259" s="34">
        <f t="shared" si="111"/>
        <v>5335441</v>
      </c>
      <c r="J259" s="34">
        <f t="shared" si="111"/>
        <v>1732052</v>
      </c>
    </row>
    <row r="260" spans="1:11" x14ac:dyDescent="0.3">
      <c r="A260" s="325"/>
      <c r="B260" s="326"/>
      <c r="C260" s="37" t="s">
        <v>45</v>
      </c>
      <c r="D260" s="34">
        <f>D212+D191+D75+D47</f>
        <v>743011</v>
      </c>
      <c r="E260" s="34">
        <f t="shared" ref="E260:J260" si="112">E212+E191+E75+E47</f>
        <v>0</v>
      </c>
      <c r="F260" s="34">
        <f t="shared" si="112"/>
        <v>0</v>
      </c>
      <c r="G260" s="34">
        <f t="shared" si="112"/>
        <v>0</v>
      </c>
      <c r="H260" s="34">
        <f t="shared" si="112"/>
        <v>0</v>
      </c>
      <c r="I260" s="34">
        <f t="shared" si="112"/>
        <v>743011</v>
      </c>
      <c r="J260" s="34">
        <f t="shared" si="112"/>
        <v>216999</v>
      </c>
    </row>
    <row r="261" spans="1:11" x14ac:dyDescent="0.3">
      <c r="A261" s="325"/>
      <c r="B261" s="326"/>
      <c r="C261" s="63" t="s">
        <v>49</v>
      </c>
      <c r="D261" s="64">
        <f>D213+D192+D174+D153+D130+D108+D76+D48</f>
        <v>62319790</v>
      </c>
      <c r="E261" s="64">
        <f t="shared" ref="E261:J261" si="113">E213+E192+E174+E153+E130+E108+E76+E48</f>
        <v>-21000000</v>
      </c>
      <c r="F261" s="64">
        <f t="shared" si="113"/>
        <v>12000</v>
      </c>
      <c r="G261" s="64">
        <f t="shared" si="113"/>
        <v>0</v>
      </c>
      <c r="H261" s="64">
        <f t="shared" si="113"/>
        <v>0</v>
      </c>
      <c r="I261" s="64">
        <f t="shared" si="113"/>
        <v>41331790</v>
      </c>
      <c r="J261" s="64">
        <f t="shared" si="113"/>
        <v>10375773</v>
      </c>
    </row>
    <row r="262" spans="1:11" x14ac:dyDescent="0.3">
      <c r="A262" s="325"/>
      <c r="B262" s="326"/>
      <c r="C262" s="63" t="s">
        <v>100</v>
      </c>
      <c r="D262" s="64">
        <f>D197</f>
        <v>0</v>
      </c>
      <c r="E262" s="64">
        <f t="shared" ref="E262:J262" si="114">E197</f>
        <v>10500000</v>
      </c>
      <c r="F262" s="64">
        <f t="shared" si="114"/>
        <v>0</v>
      </c>
      <c r="G262" s="64">
        <f t="shared" si="114"/>
        <v>0</v>
      </c>
      <c r="H262" s="64">
        <f t="shared" si="114"/>
        <v>0</v>
      </c>
      <c r="I262" s="64">
        <f t="shared" si="114"/>
        <v>10500000</v>
      </c>
      <c r="J262" s="64">
        <f t="shared" si="114"/>
        <v>10500000</v>
      </c>
    </row>
    <row r="263" spans="1:11" x14ac:dyDescent="0.3">
      <c r="A263" s="325"/>
      <c r="B263" s="326"/>
      <c r="C263" s="38" t="s">
        <v>50</v>
      </c>
      <c r="D263" s="34">
        <f t="shared" ref="D263:J265" si="115">D194+D77+D49</f>
        <v>161220</v>
      </c>
      <c r="E263" s="34">
        <f t="shared" si="115"/>
        <v>0</v>
      </c>
      <c r="F263" s="34">
        <f t="shared" si="115"/>
        <v>0</v>
      </c>
      <c r="G263" s="34">
        <f t="shared" si="115"/>
        <v>0</v>
      </c>
      <c r="H263" s="34">
        <f t="shared" si="115"/>
        <v>0</v>
      </c>
      <c r="I263" s="34">
        <f t="shared" si="115"/>
        <v>161220</v>
      </c>
      <c r="J263" s="34">
        <f t="shared" si="115"/>
        <v>0</v>
      </c>
    </row>
    <row r="264" spans="1:11" x14ac:dyDescent="0.3">
      <c r="A264" s="325"/>
      <c r="B264" s="326"/>
      <c r="C264" s="37" t="s">
        <v>51</v>
      </c>
      <c r="D264" s="34">
        <f t="shared" si="115"/>
        <v>43530</v>
      </c>
      <c r="E264" s="34">
        <f t="shared" si="115"/>
        <v>0</v>
      </c>
      <c r="F264" s="34">
        <f t="shared" si="115"/>
        <v>0</v>
      </c>
      <c r="G264" s="34">
        <f t="shared" si="115"/>
        <v>0</v>
      </c>
      <c r="H264" s="34">
        <f t="shared" si="115"/>
        <v>0</v>
      </c>
      <c r="I264" s="34">
        <f t="shared" si="115"/>
        <v>43530</v>
      </c>
      <c r="J264" s="34">
        <f t="shared" si="115"/>
        <v>0</v>
      </c>
    </row>
    <row r="265" spans="1:11" x14ac:dyDescent="0.3">
      <c r="A265" s="325"/>
      <c r="B265" s="326"/>
      <c r="C265" s="63" t="s">
        <v>52</v>
      </c>
      <c r="D265" s="66">
        <f t="shared" si="115"/>
        <v>204750</v>
      </c>
      <c r="E265" s="66">
        <f t="shared" si="115"/>
        <v>0</v>
      </c>
      <c r="F265" s="66">
        <f t="shared" si="115"/>
        <v>0</v>
      </c>
      <c r="G265" s="66">
        <f t="shared" si="115"/>
        <v>0</v>
      </c>
      <c r="H265" s="66">
        <f t="shared" si="115"/>
        <v>0</v>
      </c>
      <c r="I265" s="66">
        <f t="shared" si="115"/>
        <v>204750</v>
      </c>
      <c r="J265" s="66">
        <f t="shared" si="115"/>
        <v>0</v>
      </c>
    </row>
    <row r="266" spans="1:11" x14ac:dyDescent="0.3">
      <c r="A266" s="327"/>
      <c r="B266" s="328"/>
      <c r="C266" s="67" t="s">
        <v>88</v>
      </c>
      <c r="D266" s="68">
        <f t="shared" ref="D266:J266" si="116">D265+D261+D246+D245+D262</f>
        <v>230443641</v>
      </c>
      <c r="E266" s="68">
        <f t="shared" si="116"/>
        <v>0</v>
      </c>
      <c r="F266" s="68">
        <f t="shared" si="116"/>
        <v>12000</v>
      </c>
      <c r="G266" s="68">
        <f t="shared" si="116"/>
        <v>66208</v>
      </c>
      <c r="H266" s="68">
        <f t="shared" si="116"/>
        <v>0</v>
      </c>
      <c r="I266" s="68">
        <f t="shared" si="116"/>
        <v>230521849</v>
      </c>
      <c r="J266" s="68">
        <f t="shared" si="116"/>
        <v>81431680</v>
      </c>
    </row>
    <row r="267" spans="1:11" x14ac:dyDescent="0.3">
      <c r="B267" s="5"/>
      <c r="E267" s="4"/>
      <c r="F267" s="4"/>
      <c r="G267" s="4"/>
      <c r="H267" s="4"/>
      <c r="I267" s="4"/>
      <c r="J267" s="4"/>
      <c r="K267" s="39"/>
    </row>
    <row r="268" spans="1:11" x14ac:dyDescent="0.3">
      <c r="B268" s="5"/>
      <c r="E268" s="4"/>
      <c r="F268" s="4"/>
      <c r="G268" s="4"/>
      <c r="H268" s="4"/>
      <c r="I268" s="4"/>
      <c r="J268" s="4"/>
      <c r="K268" s="39"/>
    </row>
  </sheetData>
  <mergeCells count="72">
    <mergeCell ref="A224:K224"/>
    <mergeCell ref="A225:B266"/>
    <mergeCell ref="A216:C216"/>
    <mergeCell ref="A217:C217"/>
    <mergeCell ref="A179:C179"/>
    <mergeCell ref="A180:A197"/>
    <mergeCell ref="B180:B197"/>
    <mergeCell ref="A198:C198"/>
    <mergeCell ref="A199:A213"/>
    <mergeCell ref="B199:B213"/>
    <mergeCell ref="A114:A130"/>
    <mergeCell ref="B114:B130"/>
    <mergeCell ref="A109:A110"/>
    <mergeCell ref="J3:J4"/>
    <mergeCell ref="A214:A215"/>
    <mergeCell ref="B214:B215"/>
    <mergeCell ref="A177:A178"/>
    <mergeCell ref="B177:B178"/>
    <mergeCell ref="A133:A134"/>
    <mergeCell ref="B133:B134"/>
    <mergeCell ref="A135:C135"/>
    <mergeCell ref="A157:A174"/>
    <mergeCell ref="B157:B174"/>
    <mergeCell ref="A175:A176"/>
    <mergeCell ref="B175:B176"/>
    <mergeCell ref="A131:A132"/>
    <mergeCell ref="B131:B132"/>
    <mergeCell ref="A136:A153"/>
    <mergeCell ref="B136:B153"/>
    <mergeCell ref="A154:A155"/>
    <mergeCell ref="B154:B155"/>
    <mergeCell ref="A156:C156"/>
    <mergeCell ref="A80:A81"/>
    <mergeCell ref="B80:B81"/>
    <mergeCell ref="A82:A83"/>
    <mergeCell ref="B82:B83"/>
    <mergeCell ref="A84:A85"/>
    <mergeCell ref="B84:B85"/>
    <mergeCell ref="B109:B110"/>
    <mergeCell ref="A111:A112"/>
    <mergeCell ref="B111:B112"/>
    <mergeCell ref="A113:C113"/>
    <mergeCell ref="A86:A87"/>
    <mergeCell ref="B86:B87"/>
    <mergeCell ref="A88:C88"/>
    <mergeCell ref="A89:A108"/>
    <mergeCell ref="B89:B108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J1"/>
    <mergeCell ref="I3:I4"/>
    <mergeCell ref="A3:A4"/>
    <mergeCell ref="B3:B4"/>
    <mergeCell ref="C3:C4"/>
    <mergeCell ref="D3:D4"/>
    <mergeCell ref="E3:H3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3" manualBreakCount="3">
    <brk id="88" max="9" man="1"/>
    <brk id="156" max="9" man="1"/>
    <brk id="219" max="9" man="1"/>
  </rowBreaks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9"/>
  <sheetViews>
    <sheetView workbookViewId="0">
      <pane xSplit="2" ySplit="4" topLeftCell="C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42.6640625" customWidth="1"/>
    <col min="3" max="3" width="7.6640625" customWidth="1"/>
    <col min="4" max="5" width="13.6640625" customWidth="1"/>
    <col min="6" max="6" width="10.33203125" customWidth="1"/>
    <col min="7" max="9" width="10.33203125" bestFit="1" customWidth="1"/>
    <col min="10" max="10" width="13.88671875" bestFit="1" customWidth="1"/>
    <col min="11" max="11" width="16.44140625" style="118" customWidth="1"/>
    <col min="12" max="12" width="13.88671875" customWidth="1"/>
  </cols>
  <sheetData>
    <row r="1" spans="1:12" ht="21" x14ac:dyDescent="0.3">
      <c r="A1" s="352" t="s">
        <v>0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x14ac:dyDescent="0.3">
      <c r="B2" s="5"/>
      <c r="E2" s="4"/>
      <c r="F2" s="4"/>
      <c r="G2" s="4"/>
      <c r="H2" s="4"/>
      <c r="I2" s="4"/>
      <c r="J2" s="4"/>
      <c r="K2" s="107"/>
    </row>
    <row r="3" spans="1:12" ht="15" customHeight="1" x14ac:dyDescent="0.3">
      <c r="A3" s="353" t="s">
        <v>104</v>
      </c>
      <c r="B3" s="355" t="s">
        <v>105</v>
      </c>
      <c r="C3" s="353" t="s">
        <v>3</v>
      </c>
      <c r="D3" s="353" t="s">
        <v>4</v>
      </c>
      <c r="E3" s="357" t="s">
        <v>96</v>
      </c>
      <c r="F3" s="359" t="s">
        <v>106</v>
      </c>
      <c r="G3" s="360"/>
      <c r="H3" s="360"/>
      <c r="I3" s="361"/>
      <c r="J3" s="357" t="s">
        <v>107</v>
      </c>
      <c r="K3" s="362" t="s">
        <v>108</v>
      </c>
      <c r="L3" s="363" t="s">
        <v>109</v>
      </c>
    </row>
    <row r="4" spans="1:12" ht="26.4" x14ac:dyDescent="0.3">
      <c r="A4" s="354"/>
      <c r="B4" s="356"/>
      <c r="C4" s="354"/>
      <c r="D4" s="354"/>
      <c r="E4" s="358"/>
      <c r="F4" s="120" t="s">
        <v>70</v>
      </c>
      <c r="G4" s="121" t="s">
        <v>71</v>
      </c>
      <c r="H4" s="121" t="s">
        <v>71</v>
      </c>
      <c r="I4" s="121" t="s">
        <v>71</v>
      </c>
      <c r="J4" s="358"/>
      <c r="K4" s="362"/>
      <c r="L4" s="363"/>
    </row>
    <row r="5" spans="1:12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08">
        <v>22925848</v>
      </c>
      <c r="L5" s="3">
        <f>J5-K5</f>
        <v>31922971</v>
      </c>
    </row>
    <row r="6" spans="1:12" x14ac:dyDescent="0.3">
      <c r="A6" s="285"/>
      <c r="B6" s="261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08">
        <v>7273070</v>
      </c>
      <c r="L6" s="3">
        <f t="shared" ref="L6:L23" si="1">J6-K6</f>
        <v>0</v>
      </c>
    </row>
    <row r="7" spans="1:12" x14ac:dyDescent="0.3">
      <c r="A7" s="285"/>
      <c r="B7" s="261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08">
        <v>48995943</v>
      </c>
      <c r="L7" s="3">
        <f t="shared" si="1"/>
        <v>47989729</v>
      </c>
    </row>
    <row r="8" spans="1:12" x14ac:dyDescent="0.3">
      <c r="A8" s="285"/>
      <c r="B8" s="264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08">
        <v>0</v>
      </c>
      <c r="L8" s="3">
        <f t="shared" si="1"/>
        <v>200000</v>
      </c>
    </row>
    <row r="9" spans="1:12" x14ac:dyDescent="0.3">
      <c r="A9" s="285"/>
      <c r="B9" s="268"/>
      <c r="C9" s="2" t="s">
        <v>19</v>
      </c>
      <c r="D9" s="3">
        <v>13200</v>
      </c>
      <c r="E9" s="3">
        <v>16540</v>
      </c>
      <c r="F9" s="3"/>
      <c r="G9" s="3"/>
      <c r="H9" s="3"/>
      <c r="I9" s="3"/>
      <c r="J9" s="20">
        <f t="shared" si="0"/>
        <v>16540</v>
      </c>
      <c r="K9" s="108">
        <v>5379</v>
      </c>
      <c r="L9" s="3">
        <f t="shared" si="1"/>
        <v>11161</v>
      </c>
    </row>
    <row r="10" spans="1:12" x14ac:dyDescent="0.3">
      <c r="A10" s="285"/>
      <c r="B10" s="268"/>
      <c r="C10" s="2" t="s">
        <v>20</v>
      </c>
      <c r="D10" s="3">
        <v>500</v>
      </c>
      <c r="E10" s="3">
        <v>211</v>
      </c>
      <c r="F10" s="3"/>
      <c r="G10" s="3"/>
      <c r="H10" s="3"/>
      <c r="I10" s="3"/>
      <c r="J10" s="20">
        <f t="shared" si="0"/>
        <v>211</v>
      </c>
      <c r="K10" s="108">
        <v>101</v>
      </c>
      <c r="L10" s="3">
        <f t="shared" si="1"/>
        <v>110</v>
      </c>
    </row>
    <row r="11" spans="1:12" x14ac:dyDescent="0.3">
      <c r="A11" s="285"/>
      <c r="B11" s="265"/>
      <c r="C11" s="2" t="s">
        <v>84</v>
      </c>
      <c r="D11" s="3">
        <v>0</v>
      </c>
      <c r="E11" s="3">
        <v>9238</v>
      </c>
      <c r="F11" s="3"/>
      <c r="G11" s="3"/>
      <c r="H11" s="3"/>
      <c r="I11" s="3"/>
      <c r="J11" s="20">
        <f t="shared" si="0"/>
        <v>9238</v>
      </c>
      <c r="K11" s="108">
        <v>3234</v>
      </c>
      <c r="L11" s="3">
        <f t="shared" si="1"/>
        <v>6004</v>
      </c>
    </row>
    <row r="12" spans="1:12" x14ac:dyDescent="0.3">
      <c r="A12" s="285"/>
      <c r="B12" s="264">
        <v>104043</v>
      </c>
      <c r="C12" s="2" t="s">
        <v>20</v>
      </c>
      <c r="D12" s="3">
        <v>500</v>
      </c>
      <c r="E12" s="3">
        <v>210</v>
      </c>
      <c r="F12" s="3"/>
      <c r="G12" s="3"/>
      <c r="H12" s="3"/>
      <c r="I12" s="3"/>
      <c r="J12" s="20">
        <f t="shared" si="0"/>
        <v>210</v>
      </c>
      <c r="K12" s="108">
        <v>100</v>
      </c>
      <c r="L12" s="3">
        <f t="shared" si="1"/>
        <v>110</v>
      </c>
    </row>
    <row r="13" spans="1:12" x14ac:dyDescent="0.3">
      <c r="A13" s="263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08">
        <v>1</v>
      </c>
      <c r="L13" s="3">
        <f t="shared" si="1"/>
        <v>0</v>
      </c>
    </row>
    <row r="14" spans="1:12" x14ac:dyDescent="0.3">
      <c r="A14" s="254" t="s">
        <v>7</v>
      </c>
      <c r="B14" s="261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08">
        <v>118624</v>
      </c>
      <c r="L14" s="3">
        <f t="shared" si="1"/>
        <v>127358</v>
      </c>
    </row>
    <row r="15" spans="1:12" x14ac:dyDescent="0.3">
      <c r="A15" s="254"/>
      <c r="B15" s="261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08">
        <v>1005557</v>
      </c>
      <c r="L15" s="3">
        <f t="shared" si="1"/>
        <v>0</v>
      </c>
    </row>
    <row r="16" spans="1:12" x14ac:dyDescent="0.3">
      <c r="A16" s="254" t="s">
        <v>8</v>
      </c>
      <c r="B16" s="261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08">
        <v>1560228</v>
      </c>
      <c r="L16" s="3">
        <f t="shared" si="1"/>
        <v>1543476</v>
      </c>
    </row>
    <row r="17" spans="1:12" x14ac:dyDescent="0.3">
      <c r="A17" s="254"/>
      <c r="B17" s="261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08">
        <v>440959</v>
      </c>
      <c r="L17" s="3">
        <f t="shared" si="1"/>
        <v>0</v>
      </c>
    </row>
    <row r="18" spans="1:12" x14ac:dyDescent="0.3">
      <c r="A18" s="254" t="s">
        <v>9</v>
      </c>
      <c r="B18" s="261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08">
        <v>421684</v>
      </c>
      <c r="L18" s="3">
        <f t="shared" si="1"/>
        <v>993203</v>
      </c>
    </row>
    <row r="19" spans="1:12" x14ac:dyDescent="0.3">
      <c r="A19" s="254"/>
      <c r="B19" s="261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08">
        <v>599759</v>
      </c>
      <c r="L19" s="3">
        <f t="shared" si="1"/>
        <v>0</v>
      </c>
    </row>
    <row r="20" spans="1:12" x14ac:dyDescent="0.3">
      <c r="A20" s="262" t="s">
        <v>54</v>
      </c>
      <c r="B20" s="264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08">
        <v>1077957</v>
      </c>
      <c r="L20" s="3">
        <f t="shared" si="1"/>
        <v>2978426</v>
      </c>
    </row>
    <row r="21" spans="1:12" x14ac:dyDescent="0.3">
      <c r="A21" s="263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08">
        <v>226299</v>
      </c>
      <c r="L21" s="3">
        <f t="shared" si="1"/>
        <v>0</v>
      </c>
    </row>
    <row r="22" spans="1:12" x14ac:dyDescent="0.3">
      <c r="A22" s="254" t="s">
        <v>10</v>
      </c>
      <c r="B22" s="261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08">
        <v>16810012</v>
      </c>
      <c r="L22" s="3">
        <f t="shared" si="1"/>
        <v>36817380</v>
      </c>
    </row>
    <row r="23" spans="1:12" x14ac:dyDescent="0.3">
      <c r="A23" s="254"/>
      <c r="B23" s="261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08">
        <v>6467166</v>
      </c>
      <c r="L23" s="3">
        <f t="shared" si="1"/>
        <v>0</v>
      </c>
    </row>
    <row r="24" spans="1:12" ht="30" customHeight="1" x14ac:dyDescent="0.3">
      <c r="A24" s="346" t="s">
        <v>73</v>
      </c>
      <c r="B24" s="347"/>
      <c r="C24" s="348"/>
      <c r="D24" s="122">
        <f t="shared" ref="D24:L24" si="2">SUM(D5:D23)</f>
        <v>230443641</v>
      </c>
      <c r="E24" s="122">
        <f t="shared" si="2"/>
        <v>230521849</v>
      </c>
      <c r="F24" s="122">
        <f t="shared" si="2"/>
        <v>0</v>
      </c>
      <c r="G24" s="122">
        <f t="shared" si="2"/>
        <v>0</v>
      </c>
      <c r="H24" s="122">
        <f t="shared" si="2"/>
        <v>0</v>
      </c>
      <c r="I24" s="122">
        <f t="shared" si="2"/>
        <v>0</v>
      </c>
      <c r="J24" s="122">
        <f t="shared" si="2"/>
        <v>230521849</v>
      </c>
      <c r="K24" s="123">
        <f t="shared" si="2"/>
        <v>107931921</v>
      </c>
      <c r="L24" s="122">
        <f t="shared" si="2"/>
        <v>122589928</v>
      </c>
    </row>
    <row r="25" spans="1:12" x14ac:dyDescent="0.3">
      <c r="A25" s="254" t="s">
        <v>11</v>
      </c>
      <c r="B25" s="264" t="s">
        <v>23</v>
      </c>
      <c r="C25" s="2" t="s">
        <v>24</v>
      </c>
      <c r="D25" s="3">
        <v>35883092</v>
      </c>
      <c r="E25" s="3">
        <v>35716284</v>
      </c>
      <c r="F25" s="3">
        <v>-12058</v>
      </c>
      <c r="G25" s="3"/>
      <c r="H25" s="3"/>
      <c r="I25" s="3"/>
      <c r="J25" s="20">
        <f t="shared" ref="J25:J31" si="3">E25+F25+G25+H25+I25</f>
        <v>35704226</v>
      </c>
      <c r="K25" s="108">
        <v>15831914</v>
      </c>
      <c r="L25" s="3">
        <f t="shared" ref="L25:L31" si="4">J25-K25</f>
        <v>19872312</v>
      </c>
    </row>
    <row r="26" spans="1:12" x14ac:dyDescent="0.3">
      <c r="A26" s="254"/>
      <c r="B26" s="268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08">
        <v>725000</v>
      </c>
      <c r="L26" s="3">
        <f t="shared" si="4"/>
        <v>817000</v>
      </c>
    </row>
    <row r="27" spans="1:12" x14ac:dyDescent="0.3">
      <c r="A27" s="254"/>
      <c r="B27" s="268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08">
        <v>0</v>
      </c>
      <c r="L27" s="3">
        <f t="shared" si="4"/>
        <v>80000</v>
      </c>
    </row>
    <row r="28" spans="1:12" x14ac:dyDescent="0.3">
      <c r="A28" s="254"/>
      <c r="B28" s="268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3"/>
        <v>893400</v>
      </c>
      <c r="K28" s="108">
        <v>329750</v>
      </c>
      <c r="L28" s="3">
        <f t="shared" si="4"/>
        <v>563650</v>
      </c>
    </row>
    <row r="29" spans="1:12" x14ac:dyDescent="0.3">
      <c r="A29" s="254"/>
      <c r="B29" s="268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08">
        <v>93000</v>
      </c>
      <c r="L29" s="3">
        <f t="shared" si="4"/>
        <v>97000</v>
      </c>
    </row>
    <row r="30" spans="1:12" x14ac:dyDescent="0.3">
      <c r="A30" s="254"/>
      <c r="B30" s="268"/>
      <c r="C30" s="2" t="s">
        <v>29</v>
      </c>
      <c r="D30" s="3">
        <v>1086500</v>
      </c>
      <c r="E30" s="3">
        <v>1265178</v>
      </c>
      <c r="F30" s="3">
        <v>12058</v>
      </c>
      <c r="G30" s="3"/>
      <c r="H30" s="3"/>
      <c r="I30" s="3"/>
      <c r="J30" s="20">
        <f t="shared" si="3"/>
        <v>1277236</v>
      </c>
      <c r="K30" s="108">
        <v>380261</v>
      </c>
      <c r="L30" s="3">
        <f t="shared" si="4"/>
        <v>896975</v>
      </c>
    </row>
    <row r="31" spans="1:12" x14ac:dyDescent="0.3">
      <c r="A31" s="254"/>
      <c r="B31" s="268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08">
        <v>1500</v>
      </c>
      <c r="L31" s="3">
        <f t="shared" si="4"/>
        <v>98500</v>
      </c>
    </row>
    <row r="32" spans="1:12" x14ac:dyDescent="0.3">
      <c r="A32" s="254"/>
      <c r="B32" s="268"/>
      <c r="C32" s="6" t="s">
        <v>53</v>
      </c>
      <c r="D32" s="7">
        <f>SUM(D25:D31)</f>
        <v>39774992</v>
      </c>
      <c r="E32" s="7">
        <f>SUM(E25:E31)</f>
        <v>39786862</v>
      </c>
      <c r="F32" s="7">
        <f t="shared" ref="F32:L32" si="5">SUM(F25:F31)</f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39786862</v>
      </c>
      <c r="K32" s="110">
        <f t="shared" si="5"/>
        <v>17361425</v>
      </c>
      <c r="L32" s="7">
        <f t="shared" si="5"/>
        <v>22425437</v>
      </c>
    </row>
    <row r="33" spans="1:12" x14ac:dyDescent="0.3">
      <c r="A33" s="254"/>
      <c r="B33" s="268"/>
      <c r="C33" s="82" t="s">
        <v>31</v>
      </c>
      <c r="D33" s="83">
        <v>7793417</v>
      </c>
      <c r="E33" s="83">
        <v>7795732</v>
      </c>
      <c r="F33" s="83"/>
      <c r="G33" s="83"/>
      <c r="H33" s="83"/>
      <c r="I33" s="83"/>
      <c r="J33" s="84">
        <f t="shared" ref="J33:J47" si="6">E33+F33+G33+H33+I33</f>
        <v>7795732</v>
      </c>
      <c r="K33" s="111">
        <v>3652266</v>
      </c>
      <c r="L33" s="85">
        <f t="shared" ref="L33:L47" si="7">J33-K33</f>
        <v>4143466</v>
      </c>
    </row>
    <row r="34" spans="1:12" x14ac:dyDescent="0.3">
      <c r="A34" s="254"/>
      <c r="B34" s="268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08">
        <v>24818</v>
      </c>
      <c r="L34" s="3">
        <f t="shared" si="7"/>
        <v>80182</v>
      </c>
    </row>
    <row r="35" spans="1:12" x14ac:dyDescent="0.3">
      <c r="A35" s="254"/>
      <c r="B35" s="268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08">
        <v>1371</v>
      </c>
      <c r="L35" s="3">
        <f t="shared" si="7"/>
        <v>498629</v>
      </c>
    </row>
    <row r="36" spans="1:12" x14ac:dyDescent="0.3">
      <c r="A36" s="254"/>
      <c r="B36" s="268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08">
        <v>61188</v>
      </c>
      <c r="L36" s="3">
        <f t="shared" si="7"/>
        <v>151812</v>
      </c>
    </row>
    <row r="37" spans="1:12" x14ac:dyDescent="0.3">
      <c r="A37" s="254"/>
      <c r="B37" s="268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08">
        <v>32973</v>
      </c>
      <c r="L37" s="3">
        <f t="shared" si="7"/>
        <v>129027</v>
      </c>
    </row>
    <row r="38" spans="1:12" x14ac:dyDescent="0.3">
      <c r="A38" s="254"/>
      <c r="B38" s="268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08">
        <v>326391</v>
      </c>
      <c r="L38" s="3">
        <f t="shared" si="7"/>
        <v>243149</v>
      </c>
    </row>
    <row r="39" spans="1:12" x14ac:dyDescent="0.3">
      <c r="A39" s="254"/>
      <c r="B39" s="268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08">
        <v>0</v>
      </c>
      <c r="L39" s="3">
        <f t="shared" si="7"/>
        <v>3000</v>
      </c>
    </row>
    <row r="40" spans="1:12" x14ac:dyDescent="0.3">
      <c r="A40" s="254"/>
      <c r="B40" s="268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08">
        <v>113646</v>
      </c>
      <c r="L40" s="3">
        <f t="shared" si="7"/>
        <v>342854</v>
      </c>
    </row>
    <row r="41" spans="1:12" x14ac:dyDescent="0.3">
      <c r="A41" s="254"/>
      <c r="B41" s="268"/>
      <c r="C41" s="2" t="s">
        <v>39</v>
      </c>
      <c r="D41" s="3">
        <v>13200</v>
      </c>
      <c r="E41" s="3">
        <v>16540</v>
      </c>
      <c r="F41" s="3"/>
      <c r="G41" s="3"/>
      <c r="H41" s="3"/>
      <c r="I41" s="3"/>
      <c r="J41" s="20">
        <f t="shared" si="6"/>
        <v>16540</v>
      </c>
      <c r="K41" s="108">
        <v>6420</v>
      </c>
      <c r="L41" s="3">
        <f t="shared" si="7"/>
        <v>10120</v>
      </c>
    </row>
    <row r="42" spans="1:12" x14ac:dyDescent="0.3">
      <c r="A42" s="254"/>
      <c r="B42" s="268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08">
        <v>26300</v>
      </c>
      <c r="L42" s="3">
        <f t="shared" si="7"/>
        <v>111500</v>
      </c>
    </row>
    <row r="43" spans="1:12" x14ac:dyDescent="0.3">
      <c r="A43" s="254"/>
      <c r="B43" s="268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08">
        <v>360647</v>
      </c>
      <c r="L43" s="3">
        <f t="shared" si="7"/>
        <v>223249</v>
      </c>
    </row>
    <row r="44" spans="1:12" x14ac:dyDescent="0.3">
      <c r="A44" s="254"/>
      <c r="B44" s="268"/>
      <c r="C44" s="2" t="s">
        <v>42</v>
      </c>
      <c r="D44" s="3">
        <v>552000</v>
      </c>
      <c r="E44" s="3">
        <v>539440</v>
      </c>
      <c r="F44" s="3"/>
      <c r="G44" s="3"/>
      <c r="H44" s="3"/>
      <c r="I44" s="3"/>
      <c r="J44" s="20">
        <f t="shared" si="6"/>
        <v>539440</v>
      </c>
      <c r="K44" s="108">
        <v>198515</v>
      </c>
      <c r="L44" s="3">
        <f t="shared" si="7"/>
        <v>340925</v>
      </c>
    </row>
    <row r="45" spans="1:12" x14ac:dyDescent="0.3">
      <c r="A45" s="254"/>
      <c r="B45" s="268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08">
        <v>0</v>
      </c>
      <c r="L45" s="3">
        <f t="shared" si="7"/>
        <v>30000</v>
      </c>
    </row>
    <row r="46" spans="1:12" x14ac:dyDescent="0.3">
      <c r="A46" s="254"/>
      <c r="B46" s="268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08">
        <v>90465</v>
      </c>
      <c r="L46" s="3">
        <f t="shared" si="7"/>
        <v>127970</v>
      </c>
    </row>
    <row r="47" spans="1:12" x14ac:dyDescent="0.3">
      <c r="A47" s="254"/>
      <c r="B47" s="268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08">
        <v>32642</v>
      </c>
      <c r="L47" s="3">
        <f t="shared" si="7"/>
        <v>43122</v>
      </c>
    </row>
    <row r="48" spans="1:12" x14ac:dyDescent="0.3">
      <c r="A48" s="254"/>
      <c r="B48" s="268"/>
      <c r="C48" s="6" t="s">
        <v>49</v>
      </c>
      <c r="D48" s="7">
        <f>SUM(D34:D47)</f>
        <v>3863610</v>
      </c>
      <c r="E48" s="7">
        <f>SUM(E34:E47)</f>
        <v>3610915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3610915</v>
      </c>
      <c r="K48" s="110">
        <f t="shared" si="8"/>
        <v>1275376</v>
      </c>
      <c r="L48" s="7">
        <f t="shared" si="8"/>
        <v>2335539</v>
      </c>
    </row>
    <row r="49" spans="1:12" x14ac:dyDescent="0.3">
      <c r="A49" s="254"/>
      <c r="B49" s="268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08">
        <v>0</v>
      </c>
      <c r="L49" s="3">
        <f t="shared" ref="L49:L50" si="10">J49-K49</f>
        <v>78740</v>
      </c>
    </row>
    <row r="50" spans="1:12" x14ac:dyDescent="0.3">
      <c r="A50" s="254"/>
      <c r="B50" s="268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08">
        <v>0</v>
      </c>
      <c r="L50" s="3">
        <f t="shared" si="10"/>
        <v>21260</v>
      </c>
    </row>
    <row r="51" spans="1:12" x14ac:dyDescent="0.3">
      <c r="A51" s="254"/>
      <c r="B51" s="265"/>
      <c r="C51" s="6" t="s">
        <v>52</v>
      </c>
      <c r="D51" s="7">
        <f>SUM(D49:D50)</f>
        <v>100000</v>
      </c>
      <c r="E51" s="7">
        <f>SUM(E49:E50)</f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0">
        <f t="shared" si="11"/>
        <v>0</v>
      </c>
      <c r="L51" s="7">
        <f t="shared" si="11"/>
        <v>100000</v>
      </c>
    </row>
    <row r="52" spans="1:12" x14ac:dyDescent="0.3">
      <c r="A52" s="254"/>
      <c r="B52" s="261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08">
        <v>11265735</v>
      </c>
      <c r="L52" s="3">
        <f t="shared" ref="L52:L60" si="13">J52-K52</f>
        <v>13877546</v>
      </c>
    </row>
    <row r="53" spans="1:12" x14ac:dyDescent="0.3">
      <c r="A53" s="254"/>
      <c r="B53" s="261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08">
        <v>946537</v>
      </c>
      <c r="L53" s="3">
        <f t="shared" si="13"/>
        <v>1093943</v>
      </c>
    </row>
    <row r="54" spans="1:12" x14ac:dyDescent="0.3">
      <c r="A54" s="254"/>
      <c r="B54" s="261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08">
        <v>0</v>
      </c>
      <c r="L54" s="3">
        <f t="shared" si="13"/>
        <v>0</v>
      </c>
    </row>
    <row r="55" spans="1:12" x14ac:dyDescent="0.3">
      <c r="A55" s="254"/>
      <c r="B55" s="261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08">
        <v>450000</v>
      </c>
      <c r="L55" s="3">
        <f t="shared" si="13"/>
        <v>575000</v>
      </c>
    </row>
    <row r="56" spans="1:12" x14ac:dyDescent="0.3">
      <c r="A56" s="254"/>
      <c r="B56" s="261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08">
        <v>0</v>
      </c>
      <c r="L56" s="3">
        <f t="shared" si="13"/>
        <v>60000</v>
      </c>
    </row>
    <row r="57" spans="1:12" x14ac:dyDescent="0.3">
      <c r="A57" s="254"/>
      <c r="B57" s="261"/>
      <c r="C57" s="2" t="s">
        <v>27</v>
      </c>
      <c r="D57" s="3">
        <v>240000</v>
      </c>
      <c r="E57" s="3">
        <v>240000</v>
      </c>
      <c r="F57" s="3">
        <v>-5202</v>
      </c>
      <c r="G57" s="3"/>
      <c r="H57" s="3"/>
      <c r="I57" s="3"/>
      <c r="J57" s="20">
        <f t="shared" si="12"/>
        <v>234798</v>
      </c>
      <c r="K57" s="108">
        <v>71370</v>
      </c>
      <c r="L57" s="3">
        <f t="shared" si="13"/>
        <v>163428</v>
      </c>
    </row>
    <row r="58" spans="1:12" x14ac:dyDescent="0.3">
      <c r="A58" s="254"/>
      <c r="B58" s="261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08">
        <v>57000</v>
      </c>
      <c r="L58" s="3">
        <f t="shared" si="13"/>
        <v>90000</v>
      </c>
    </row>
    <row r="59" spans="1:12" x14ac:dyDescent="0.3">
      <c r="A59" s="254"/>
      <c r="B59" s="261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08">
        <v>271735</v>
      </c>
      <c r="L59" s="3">
        <f t="shared" si="13"/>
        <v>281765</v>
      </c>
    </row>
    <row r="60" spans="1:12" x14ac:dyDescent="0.3">
      <c r="A60" s="254"/>
      <c r="B60" s="261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08">
        <v>1500</v>
      </c>
      <c r="L60" s="3">
        <f t="shared" si="13"/>
        <v>98500</v>
      </c>
    </row>
    <row r="61" spans="1:12" x14ac:dyDescent="0.3">
      <c r="A61" s="254"/>
      <c r="B61" s="261"/>
      <c r="C61" s="6" t="s">
        <v>53</v>
      </c>
      <c r="D61" s="7">
        <f>SUM(D52:D60)</f>
        <v>29289325</v>
      </c>
      <c r="E61" s="7">
        <f>SUM(E52:E60)</f>
        <v>29309261</v>
      </c>
      <c r="F61" s="7">
        <f t="shared" ref="F61:L61" si="14">SUM(F52:F60)</f>
        <v>-5202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29304059</v>
      </c>
      <c r="K61" s="110">
        <f t="shared" si="14"/>
        <v>13063877</v>
      </c>
      <c r="L61" s="7">
        <f t="shared" si="14"/>
        <v>16240182</v>
      </c>
    </row>
    <row r="62" spans="1:12" x14ac:dyDescent="0.3">
      <c r="A62" s="254"/>
      <c r="B62" s="261"/>
      <c r="C62" s="82" t="s">
        <v>31</v>
      </c>
      <c r="D62" s="83">
        <v>5849797</v>
      </c>
      <c r="E62" s="83">
        <v>5853685</v>
      </c>
      <c r="F62" s="83"/>
      <c r="G62" s="83"/>
      <c r="H62" s="83"/>
      <c r="I62" s="83"/>
      <c r="J62" s="84">
        <f t="shared" ref="J62:J75" si="15">E62+F62+G62+H62+I62</f>
        <v>5853685</v>
      </c>
      <c r="K62" s="111">
        <v>2776198</v>
      </c>
      <c r="L62" s="85">
        <f t="shared" ref="L62:L75" si="16">J62-K62</f>
        <v>3077487</v>
      </c>
    </row>
    <row r="63" spans="1:12" x14ac:dyDescent="0.3">
      <c r="A63" s="254"/>
      <c r="B63" s="261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08">
        <v>24820</v>
      </c>
      <c r="L63" s="3">
        <f t="shared" si="16"/>
        <v>80180</v>
      </c>
    </row>
    <row r="64" spans="1:12" x14ac:dyDescent="0.3">
      <c r="A64" s="254"/>
      <c r="B64" s="261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08">
        <v>14443</v>
      </c>
      <c r="L64" s="3">
        <f t="shared" si="16"/>
        <v>685557</v>
      </c>
    </row>
    <row r="65" spans="1:12" x14ac:dyDescent="0.3">
      <c r="A65" s="254"/>
      <c r="B65" s="261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08">
        <v>61189</v>
      </c>
      <c r="L65" s="3">
        <f t="shared" si="16"/>
        <v>151811</v>
      </c>
    </row>
    <row r="66" spans="1:12" x14ac:dyDescent="0.3">
      <c r="A66" s="254"/>
      <c r="B66" s="261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08">
        <v>55905</v>
      </c>
      <c r="L66" s="3">
        <f t="shared" si="16"/>
        <v>66295</v>
      </c>
    </row>
    <row r="67" spans="1:12" x14ac:dyDescent="0.3">
      <c r="A67" s="254"/>
      <c r="B67" s="261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08">
        <v>395115</v>
      </c>
      <c r="L67" s="3">
        <f t="shared" si="16"/>
        <v>274425</v>
      </c>
    </row>
    <row r="68" spans="1:12" x14ac:dyDescent="0.3">
      <c r="A68" s="254"/>
      <c r="B68" s="261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08">
        <v>0</v>
      </c>
      <c r="L68" s="3">
        <f t="shared" si="16"/>
        <v>123000</v>
      </c>
    </row>
    <row r="69" spans="1:12" x14ac:dyDescent="0.3">
      <c r="A69" s="254"/>
      <c r="B69" s="261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08">
        <v>113649</v>
      </c>
      <c r="L69" s="3">
        <f t="shared" si="16"/>
        <v>346351</v>
      </c>
    </row>
    <row r="70" spans="1:12" x14ac:dyDescent="0.3">
      <c r="A70" s="254"/>
      <c r="B70" s="261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08">
        <v>272068</v>
      </c>
      <c r="L70" s="3">
        <f t="shared" si="16"/>
        <v>1089836</v>
      </c>
    </row>
    <row r="71" spans="1:12" x14ac:dyDescent="0.3">
      <c r="A71" s="254"/>
      <c r="B71" s="261"/>
      <c r="C71" s="2" t="s">
        <v>41</v>
      </c>
      <c r="D71" s="3">
        <v>982236</v>
      </c>
      <c r="E71" s="3">
        <v>982236</v>
      </c>
      <c r="F71" s="3">
        <v>-1685</v>
      </c>
      <c r="G71" s="3"/>
      <c r="H71" s="3"/>
      <c r="I71" s="3"/>
      <c r="J71" s="20">
        <f t="shared" si="15"/>
        <v>980551</v>
      </c>
      <c r="K71" s="108">
        <v>323924</v>
      </c>
      <c r="L71" s="3">
        <f t="shared" si="16"/>
        <v>656627</v>
      </c>
    </row>
    <row r="72" spans="1:12" x14ac:dyDescent="0.3">
      <c r="A72" s="254"/>
      <c r="B72" s="261"/>
      <c r="C72" s="2" t="s">
        <v>42</v>
      </c>
      <c r="D72" s="3">
        <v>1200000</v>
      </c>
      <c r="E72" s="3">
        <v>1147960</v>
      </c>
      <c r="F72" s="3">
        <v>-7285</v>
      </c>
      <c r="G72" s="3"/>
      <c r="H72" s="3"/>
      <c r="I72" s="3"/>
      <c r="J72" s="20">
        <f t="shared" si="15"/>
        <v>1140675</v>
      </c>
      <c r="K72" s="108">
        <v>201725</v>
      </c>
      <c r="L72" s="3">
        <f t="shared" si="16"/>
        <v>938950</v>
      </c>
    </row>
    <row r="73" spans="1:12" x14ac:dyDescent="0.3">
      <c r="A73" s="254"/>
      <c r="B73" s="261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08">
        <v>0</v>
      </c>
      <c r="L73" s="3">
        <f t="shared" si="16"/>
        <v>30000</v>
      </c>
    </row>
    <row r="74" spans="1:12" x14ac:dyDescent="0.3">
      <c r="A74" s="254"/>
      <c r="B74" s="261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08">
        <v>160634</v>
      </c>
      <c r="L74" s="3">
        <f t="shared" si="16"/>
        <v>819789</v>
      </c>
    </row>
    <row r="75" spans="1:12" x14ac:dyDescent="0.3">
      <c r="A75" s="254"/>
      <c r="B75" s="261"/>
      <c r="C75" s="2" t="s">
        <v>45</v>
      </c>
      <c r="D75" s="3">
        <v>433021</v>
      </c>
      <c r="E75" s="3">
        <v>160403</v>
      </c>
      <c r="F75" s="3"/>
      <c r="G75" s="3"/>
      <c r="H75" s="3"/>
      <c r="I75" s="3"/>
      <c r="J75" s="20">
        <f t="shared" si="15"/>
        <v>160403</v>
      </c>
      <c r="K75" s="108">
        <v>0</v>
      </c>
      <c r="L75" s="3">
        <f t="shared" si="16"/>
        <v>160403</v>
      </c>
    </row>
    <row r="76" spans="1:12" x14ac:dyDescent="0.3">
      <c r="A76" s="254"/>
      <c r="B76" s="261"/>
      <c r="C76" s="6" t="s">
        <v>49</v>
      </c>
      <c r="D76" s="7">
        <f>SUM(D63:D75)</f>
        <v>7607209</v>
      </c>
      <c r="E76" s="7">
        <f>SUM(E63:E75)</f>
        <v>7055666</v>
      </c>
      <c r="F76" s="7">
        <f t="shared" ref="F76:L76" si="17">SUM(F63:F75)</f>
        <v>-8970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7046696</v>
      </c>
      <c r="K76" s="110">
        <f t="shared" si="17"/>
        <v>1623472</v>
      </c>
      <c r="L76" s="7">
        <f t="shared" si="17"/>
        <v>5423224</v>
      </c>
    </row>
    <row r="77" spans="1:12" x14ac:dyDescent="0.3">
      <c r="A77" s="254"/>
      <c r="B77" s="261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08">
        <v>0</v>
      </c>
      <c r="L77" s="3">
        <f t="shared" ref="L77:L78" si="19">J77-K77</f>
        <v>78740</v>
      </c>
    </row>
    <row r="78" spans="1:12" x14ac:dyDescent="0.3">
      <c r="A78" s="254"/>
      <c r="B78" s="261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08">
        <v>0</v>
      </c>
      <c r="L78" s="3">
        <f t="shared" si="19"/>
        <v>21260</v>
      </c>
    </row>
    <row r="79" spans="1:12" x14ac:dyDescent="0.3">
      <c r="A79" s="254"/>
      <c r="B79" s="261"/>
      <c r="C79" s="6" t="s">
        <v>52</v>
      </c>
      <c r="D79" s="7">
        <f>SUM(D77:D78)</f>
        <v>100000</v>
      </c>
      <c r="E79" s="7">
        <f>SUM(E77:E78)</f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0">
        <f t="shared" si="20"/>
        <v>0</v>
      </c>
      <c r="L79" s="7">
        <f t="shared" si="20"/>
        <v>100000</v>
      </c>
    </row>
    <row r="80" spans="1:12" x14ac:dyDescent="0.3">
      <c r="A80" s="281" t="s">
        <v>58</v>
      </c>
      <c r="B80" s="280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08">
        <v>213800</v>
      </c>
      <c r="L80" s="3">
        <f t="shared" ref="L80:L87" si="22">J80-K80</f>
        <v>196600</v>
      </c>
    </row>
    <row r="81" spans="1:12" x14ac:dyDescent="0.3">
      <c r="A81" s="282"/>
      <c r="B81" s="28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08">
        <v>41692</v>
      </c>
      <c r="L81" s="3">
        <f t="shared" si="22"/>
        <v>34574</v>
      </c>
    </row>
    <row r="82" spans="1:12" x14ac:dyDescent="0.3">
      <c r="A82" s="281" t="s">
        <v>59</v>
      </c>
      <c r="B82" s="280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08">
        <v>182800</v>
      </c>
      <c r="L82" s="3">
        <f t="shared" si="22"/>
        <v>420800</v>
      </c>
    </row>
    <row r="83" spans="1:12" x14ac:dyDescent="0.3">
      <c r="A83" s="282"/>
      <c r="B83" s="28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08">
        <v>35645</v>
      </c>
      <c r="L83" s="3">
        <f t="shared" si="22"/>
        <v>76524</v>
      </c>
    </row>
    <row r="84" spans="1:12" x14ac:dyDescent="0.3">
      <c r="A84" s="281" t="s">
        <v>60</v>
      </c>
      <c r="B84" s="280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08">
        <v>5154754</v>
      </c>
      <c r="L84" s="3">
        <f t="shared" si="22"/>
        <v>5521472</v>
      </c>
    </row>
    <row r="85" spans="1:12" x14ac:dyDescent="0.3">
      <c r="A85" s="282"/>
      <c r="B85" s="28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08">
        <v>1005181</v>
      </c>
      <c r="L85" s="3">
        <f t="shared" si="22"/>
        <v>984084</v>
      </c>
    </row>
    <row r="86" spans="1:12" x14ac:dyDescent="0.3">
      <c r="A86" s="281" t="s">
        <v>61</v>
      </c>
      <c r="B86" s="280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08">
        <v>3773069</v>
      </c>
      <c r="L86" s="3">
        <f t="shared" si="22"/>
        <v>4624605</v>
      </c>
    </row>
    <row r="87" spans="1:12" x14ac:dyDescent="0.3">
      <c r="A87" s="282"/>
      <c r="B87" s="28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08">
        <v>735746</v>
      </c>
      <c r="L87" s="3">
        <f t="shared" si="22"/>
        <v>827607</v>
      </c>
    </row>
    <row r="88" spans="1:12" x14ac:dyDescent="0.3">
      <c r="A88" s="346" t="s">
        <v>76</v>
      </c>
      <c r="B88" s="347"/>
      <c r="C88" s="348"/>
      <c r="D88" s="122">
        <f t="shared" ref="D88:E88" si="23">SUM(D32+D33+D48+D51+D61+D62+D76+D79+D80+D81+D82+D83+D84+D85+D86+D87)</f>
        <v>118207303</v>
      </c>
      <c r="E88" s="122">
        <f t="shared" si="23"/>
        <v>117441074</v>
      </c>
      <c r="F88" s="122">
        <f t="shared" ref="F88:L88" si="24">SUM(F32+F33+F48+F51+F61+F62+F76+F79+F80+F81+F82+F83+F84+F85+F86+F87)</f>
        <v>-14172</v>
      </c>
      <c r="G88" s="122">
        <f t="shared" si="24"/>
        <v>0</v>
      </c>
      <c r="H88" s="122">
        <f t="shared" si="24"/>
        <v>0</v>
      </c>
      <c r="I88" s="122">
        <f t="shared" si="24"/>
        <v>0</v>
      </c>
      <c r="J88" s="122">
        <f t="shared" si="24"/>
        <v>117426902</v>
      </c>
      <c r="K88" s="124">
        <f t="shared" si="24"/>
        <v>50895301</v>
      </c>
      <c r="L88" s="122">
        <f t="shared" si="24"/>
        <v>66531601</v>
      </c>
    </row>
    <row r="89" spans="1:12" x14ac:dyDescent="0.3">
      <c r="A89" s="254" t="s">
        <v>12</v>
      </c>
      <c r="B89" s="261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5">E89+F89+G89+H89+I89</f>
        <v>4811583</v>
      </c>
      <c r="K89" s="108">
        <v>2310999</v>
      </c>
      <c r="L89" s="3">
        <f t="shared" ref="L89:L95" si="26">J89-K89</f>
        <v>2500584</v>
      </c>
    </row>
    <row r="90" spans="1:12" x14ac:dyDescent="0.3">
      <c r="A90" s="254"/>
      <c r="B90" s="261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08">
        <v>100000</v>
      </c>
      <c r="L90" s="3">
        <f t="shared" si="26"/>
        <v>100000</v>
      </c>
    </row>
    <row r="91" spans="1:12" x14ac:dyDescent="0.3">
      <c r="A91" s="254"/>
      <c r="B91" s="261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08">
        <v>0</v>
      </c>
      <c r="L91" s="3">
        <f t="shared" si="26"/>
        <v>10000</v>
      </c>
    </row>
    <row r="92" spans="1:12" x14ac:dyDescent="0.3">
      <c r="A92" s="254"/>
      <c r="B92" s="261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08">
        <v>61560</v>
      </c>
      <c r="L92" s="3">
        <f t="shared" si="26"/>
        <v>136440</v>
      </c>
    </row>
    <row r="93" spans="1:12" x14ac:dyDescent="0.3">
      <c r="A93" s="254"/>
      <c r="B93" s="261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08">
        <v>12000</v>
      </c>
      <c r="L93" s="3">
        <f t="shared" si="26"/>
        <v>12000</v>
      </c>
    </row>
    <row r="94" spans="1:12" x14ac:dyDescent="0.3">
      <c r="A94" s="254"/>
      <c r="B94" s="261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5"/>
        <v>75000</v>
      </c>
      <c r="K94" s="108">
        <v>0</v>
      </c>
      <c r="L94" s="3">
        <f t="shared" si="26"/>
        <v>75000</v>
      </c>
    </row>
    <row r="95" spans="1:12" x14ac:dyDescent="0.3">
      <c r="A95" s="254"/>
      <c r="B95" s="261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08">
        <v>0</v>
      </c>
      <c r="L95" s="3">
        <f t="shared" si="26"/>
        <v>0</v>
      </c>
    </row>
    <row r="96" spans="1:12" x14ac:dyDescent="0.3">
      <c r="A96" s="254"/>
      <c r="B96" s="261"/>
      <c r="C96" s="6" t="s">
        <v>53</v>
      </c>
      <c r="D96" s="7">
        <f>SUM(D89:D95)</f>
        <v>5318583</v>
      </c>
      <c r="E96" s="7">
        <f>SUM(E89:E95)</f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0">
        <f t="shared" si="27"/>
        <v>2484559</v>
      </c>
      <c r="L96" s="7">
        <f t="shared" si="27"/>
        <v>2834024</v>
      </c>
    </row>
    <row r="97" spans="1:12" x14ac:dyDescent="0.3">
      <c r="A97" s="254"/>
      <c r="B97" s="261"/>
      <c r="C97" s="82" t="s">
        <v>31</v>
      </c>
      <c r="D97" s="83">
        <v>1035556</v>
      </c>
      <c r="E97" s="83">
        <v>1035556</v>
      </c>
      <c r="F97" s="83"/>
      <c r="G97" s="83"/>
      <c r="H97" s="83"/>
      <c r="I97" s="83"/>
      <c r="J97" s="84">
        <f t="shared" ref="J97:J107" si="28">E97+F97+G97+H97+I97</f>
        <v>1035556</v>
      </c>
      <c r="K97" s="111">
        <v>511030</v>
      </c>
      <c r="L97" s="85">
        <f t="shared" ref="L97:L107" si="29">J97-K97</f>
        <v>524526</v>
      </c>
    </row>
    <row r="98" spans="1:12" x14ac:dyDescent="0.3">
      <c r="A98" s="254"/>
      <c r="B98" s="261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08">
        <v>0</v>
      </c>
      <c r="L98" s="3">
        <f t="shared" si="29"/>
        <v>100000</v>
      </c>
    </row>
    <row r="99" spans="1:12" x14ac:dyDescent="0.3">
      <c r="A99" s="254"/>
      <c r="B99" s="261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08">
        <v>0</v>
      </c>
      <c r="L99" s="3">
        <f t="shared" si="29"/>
        <v>100000</v>
      </c>
    </row>
    <row r="100" spans="1:12" x14ac:dyDescent="0.3">
      <c r="A100" s="254"/>
      <c r="B100" s="261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08">
        <v>0</v>
      </c>
      <c r="L100" s="3">
        <f t="shared" si="29"/>
        <v>210000</v>
      </c>
    </row>
    <row r="101" spans="1:12" x14ac:dyDescent="0.3">
      <c r="A101" s="254"/>
      <c r="B101" s="261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08">
        <v>0</v>
      </c>
      <c r="L101" s="3">
        <f t="shared" si="29"/>
        <v>110000</v>
      </c>
    </row>
    <row r="102" spans="1:12" x14ac:dyDescent="0.3">
      <c r="A102" s="254"/>
      <c r="B102" s="261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08">
        <v>304331</v>
      </c>
      <c r="L102" s="3">
        <f t="shared" si="29"/>
        <v>195669</v>
      </c>
    </row>
    <row r="103" spans="1:12" x14ac:dyDescent="0.3">
      <c r="A103" s="254"/>
      <c r="B103" s="261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08">
        <v>0</v>
      </c>
      <c r="L103" s="3">
        <f t="shared" si="29"/>
        <v>140000</v>
      </c>
    </row>
    <row r="104" spans="1:12" x14ac:dyDescent="0.3">
      <c r="A104" s="254"/>
      <c r="B104" s="261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08">
        <v>3400</v>
      </c>
      <c r="L104" s="3">
        <f t="shared" si="29"/>
        <v>13400</v>
      </c>
    </row>
    <row r="105" spans="1:12" x14ac:dyDescent="0.3">
      <c r="A105" s="254"/>
      <c r="B105" s="261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8"/>
        <v>80000</v>
      </c>
      <c r="K105" s="108">
        <v>30980</v>
      </c>
      <c r="L105" s="3">
        <f t="shared" si="29"/>
        <v>49020</v>
      </c>
    </row>
    <row r="106" spans="1:12" x14ac:dyDescent="0.3">
      <c r="A106" s="254"/>
      <c r="B106" s="261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08">
        <v>93255</v>
      </c>
      <c r="L106" s="3">
        <f t="shared" si="29"/>
        <v>146745</v>
      </c>
    </row>
    <row r="107" spans="1:12" x14ac:dyDescent="0.3">
      <c r="A107" s="254"/>
      <c r="B107" s="261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8"/>
        <v>200600</v>
      </c>
      <c r="K107" s="108">
        <v>23581</v>
      </c>
      <c r="L107" s="3">
        <f t="shared" si="29"/>
        <v>177019</v>
      </c>
    </row>
    <row r="108" spans="1:12" x14ac:dyDescent="0.3">
      <c r="A108" s="254"/>
      <c r="B108" s="261"/>
      <c r="C108" s="6" t="s">
        <v>49</v>
      </c>
      <c r="D108" s="7">
        <f>SUM(D98:D107)</f>
        <v>1697400</v>
      </c>
      <c r="E108" s="7">
        <f>SUM(E98:E107)</f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0">
        <f t="shared" si="30"/>
        <v>455547</v>
      </c>
      <c r="L108" s="7">
        <f t="shared" si="30"/>
        <v>1241853</v>
      </c>
    </row>
    <row r="109" spans="1:12" x14ac:dyDescent="0.3">
      <c r="A109" s="262" t="s">
        <v>62</v>
      </c>
      <c r="B109" s="264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08">
        <v>35800</v>
      </c>
      <c r="L109" s="3">
        <f t="shared" ref="L109:L112" si="32">J109-K109</f>
        <v>75800</v>
      </c>
    </row>
    <row r="110" spans="1:12" x14ac:dyDescent="0.3">
      <c r="A110" s="263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08">
        <v>6978</v>
      </c>
      <c r="L110" s="3">
        <f t="shared" si="32"/>
        <v>13761</v>
      </c>
    </row>
    <row r="111" spans="1:12" x14ac:dyDescent="0.3">
      <c r="A111" s="262" t="s">
        <v>63</v>
      </c>
      <c r="B111" s="264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08">
        <v>749148</v>
      </c>
      <c r="L111" s="3">
        <f t="shared" si="32"/>
        <v>711124</v>
      </c>
    </row>
    <row r="112" spans="1:12" x14ac:dyDescent="0.3">
      <c r="A112" s="263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08">
        <v>146083</v>
      </c>
      <c r="L112" s="3">
        <f t="shared" si="32"/>
        <v>126085</v>
      </c>
    </row>
    <row r="113" spans="1:12" x14ac:dyDescent="0.3">
      <c r="A113" s="346" t="s">
        <v>77</v>
      </c>
      <c r="B113" s="347"/>
      <c r="C113" s="348"/>
      <c r="D113" s="122">
        <f>SUM(D96+D97+D108+D109+D110+D111+D112)</f>
        <v>9916318</v>
      </c>
      <c r="E113" s="122">
        <f>SUM(E96+E97+E108+E109+E110+E111+E112)</f>
        <v>9916318</v>
      </c>
      <c r="F113" s="122">
        <f t="shared" ref="F113:L113" si="33">SUM(F96+F97+F108+F109+F110+F111+F112)</f>
        <v>0</v>
      </c>
      <c r="G113" s="122">
        <f t="shared" si="33"/>
        <v>0</v>
      </c>
      <c r="H113" s="122">
        <f t="shared" si="33"/>
        <v>0</v>
      </c>
      <c r="I113" s="122">
        <f t="shared" si="33"/>
        <v>0</v>
      </c>
      <c r="J113" s="122">
        <f t="shared" si="33"/>
        <v>9916318</v>
      </c>
      <c r="K113" s="124">
        <f t="shared" si="33"/>
        <v>4389145</v>
      </c>
      <c r="L113" s="122">
        <f t="shared" si="33"/>
        <v>5527173</v>
      </c>
    </row>
    <row r="114" spans="1:12" x14ac:dyDescent="0.3">
      <c r="A114" s="254" t="s">
        <v>13</v>
      </c>
      <c r="B114" s="261" t="s">
        <v>23</v>
      </c>
      <c r="C114" s="2" t="s">
        <v>24</v>
      </c>
      <c r="D114" s="3">
        <v>4871210</v>
      </c>
      <c r="E114" s="3">
        <v>4885228</v>
      </c>
      <c r="F114" s="3">
        <v>-28601</v>
      </c>
      <c r="G114" s="3"/>
      <c r="H114" s="3"/>
      <c r="I114" s="3"/>
      <c r="J114" s="20">
        <f t="shared" ref="J114:J119" si="34">E114+F114+G114+H114+I114</f>
        <v>4856627</v>
      </c>
      <c r="K114" s="108">
        <v>2338900</v>
      </c>
      <c r="L114" s="3">
        <f t="shared" ref="L114:L119" si="35">J114-K114</f>
        <v>2517727</v>
      </c>
    </row>
    <row r="115" spans="1:12" x14ac:dyDescent="0.3">
      <c r="A115" s="254"/>
      <c r="B115" s="261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08">
        <v>100000</v>
      </c>
      <c r="L115" s="3">
        <f t="shared" si="35"/>
        <v>100000</v>
      </c>
    </row>
    <row r="116" spans="1:12" x14ac:dyDescent="0.3">
      <c r="A116" s="254"/>
      <c r="B116" s="261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08">
        <v>0</v>
      </c>
      <c r="L116" s="3">
        <f t="shared" si="35"/>
        <v>10000</v>
      </c>
    </row>
    <row r="117" spans="1:12" x14ac:dyDescent="0.3">
      <c r="A117" s="254"/>
      <c r="B117" s="261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08">
        <v>12000</v>
      </c>
      <c r="L117" s="3">
        <f t="shared" si="35"/>
        <v>12000</v>
      </c>
    </row>
    <row r="118" spans="1:12" x14ac:dyDescent="0.3">
      <c r="A118" s="254"/>
      <c r="B118" s="261"/>
      <c r="C118" s="2" t="s">
        <v>29</v>
      </c>
      <c r="D118" s="3">
        <v>75000</v>
      </c>
      <c r="E118" s="3">
        <v>75000</v>
      </c>
      <c r="F118" s="3">
        <v>28601</v>
      </c>
      <c r="G118" s="3"/>
      <c r="H118" s="3"/>
      <c r="I118" s="3"/>
      <c r="J118" s="20">
        <f t="shared" si="34"/>
        <v>103601</v>
      </c>
      <c r="K118" s="108">
        <v>28601</v>
      </c>
      <c r="L118" s="3">
        <f t="shared" si="35"/>
        <v>75000</v>
      </c>
    </row>
    <row r="119" spans="1:12" x14ac:dyDescent="0.3">
      <c r="A119" s="254"/>
      <c r="B119" s="261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08">
        <v>0</v>
      </c>
      <c r="L119" s="3">
        <f t="shared" si="35"/>
        <v>0</v>
      </c>
    </row>
    <row r="120" spans="1:12" x14ac:dyDescent="0.3">
      <c r="A120" s="254"/>
      <c r="B120" s="261"/>
      <c r="C120" s="6" t="s">
        <v>53</v>
      </c>
      <c r="D120" s="7">
        <f>SUM(D114:D119)</f>
        <v>5180210</v>
      </c>
      <c r="E120" s="7">
        <f>SUM(E114:E119)</f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0">
        <f t="shared" si="36"/>
        <v>2479501</v>
      </c>
      <c r="L120" s="7">
        <f t="shared" si="36"/>
        <v>2714727</v>
      </c>
    </row>
    <row r="121" spans="1:12" x14ac:dyDescent="0.3">
      <c r="A121" s="254"/>
      <c r="B121" s="261"/>
      <c r="C121" s="82" t="s">
        <v>31</v>
      </c>
      <c r="D121" s="83">
        <v>1046402</v>
      </c>
      <c r="E121" s="83">
        <v>1049135</v>
      </c>
      <c r="F121" s="83"/>
      <c r="G121" s="83"/>
      <c r="H121" s="83"/>
      <c r="I121" s="83"/>
      <c r="J121" s="84">
        <f t="shared" ref="J121:J129" si="37">E121+F121+G121+H121+I121</f>
        <v>1049135</v>
      </c>
      <c r="K121" s="111">
        <v>522047</v>
      </c>
      <c r="L121" s="85">
        <f t="shared" ref="L121:L129" si="38">J121-K121</f>
        <v>527088</v>
      </c>
    </row>
    <row r="122" spans="1:12" x14ac:dyDescent="0.3">
      <c r="A122" s="254"/>
      <c r="B122" s="261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08">
        <v>0</v>
      </c>
      <c r="L122" s="3">
        <f t="shared" si="38"/>
        <v>50000</v>
      </c>
    </row>
    <row r="123" spans="1:12" x14ac:dyDescent="0.3">
      <c r="A123" s="254"/>
      <c r="B123" s="261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08">
        <v>0</v>
      </c>
      <c r="L123" s="3">
        <f t="shared" si="38"/>
        <v>100000</v>
      </c>
    </row>
    <row r="124" spans="1:12" x14ac:dyDescent="0.3">
      <c r="A124" s="254"/>
      <c r="B124" s="261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08">
        <v>0</v>
      </c>
      <c r="L124" s="3">
        <f t="shared" si="38"/>
        <v>116000</v>
      </c>
    </row>
    <row r="125" spans="1:12" x14ac:dyDescent="0.3">
      <c r="A125" s="254"/>
      <c r="B125" s="261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08">
        <v>0</v>
      </c>
      <c r="L125" s="3">
        <f t="shared" si="38"/>
        <v>50000</v>
      </c>
    </row>
    <row r="126" spans="1:12" x14ac:dyDescent="0.3">
      <c r="A126" s="254"/>
      <c r="B126" s="261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08">
        <v>3400</v>
      </c>
      <c r="L126" s="3">
        <f t="shared" si="38"/>
        <v>13400</v>
      </c>
    </row>
    <row r="127" spans="1:12" x14ac:dyDescent="0.3">
      <c r="A127" s="254"/>
      <c r="B127" s="261"/>
      <c r="C127" s="2" t="s">
        <v>41</v>
      </c>
      <c r="D127" s="3">
        <v>0</v>
      </c>
      <c r="E127" s="3">
        <v>34000</v>
      </c>
      <c r="F127" s="3">
        <v>6280</v>
      </c>
      <c r="G127" s="3"/>
      <c r="H127" s="3"/>
      <c r="I127" s="3"/>
      <c r="J127" s="20">
        <f t="shared" si="37"/>
        <v>40280</v>
      </c>
      <c r="K127" s="108">
        <v>30980</v>
      </c>
      <c r="L127" s="3">
        <f t="shared" si="38"/>
        <v>9300</v>
      </c>
    </row>
    <row r="128" spans="1:12" x14ac:dyDescent="0.3">
      <c r="A128" s="254"/>
      <c r="B128" s="261"/>
      <c r="C128" s="2" t="s">
        <v>42</v>
      </c>
      <c r="D128" s="3">
        <v>240000</v>
      </c>
      <c r="E128" s="3">
        <v>240000</v>
      </c>
      <c r="F128" s="3">
        <v>-6280</v>
      </c>
      <c r="G128" s="3"/>
      <c r="H128" s="3"/>
      <c r="I128" s="3"/>
      <c r="J128" s="20">
        <f t="shared" si="37"/>
        <v>233720</v>
      </c>
      <c r="K128" s="108">
        <v>78225</v>
      </c>
      <c r="L128" s="3">
        <f t="shared" si="38"/>
        <v>155495</v>
      </c>
    </row>
    <row r="129" spans="1:12" x14ac:dyDescent="0.3">
      <c r="A129" s="254"/>
      <c r="B129" s="261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08">
        <v>8364</v>
      </c>
      <c r="L129" s="3">
        <f t="shared" si="38"/>
        <v>86136</v>
      </c>
    </row>
    <row r="130" spans="1:12" x14ac:dyDescent="0.3">
      <c r="A130" s="254"/>
      <c r="B130" s="261"/>
      <c r="C130" s="6" t="s">
        <v>49</v>
      </c>
      <c r="D130" s="7">
        <f>SUM(D122:D129)</f>
        <v>701300</v>
      </c>
      <c r="E130" s="7">
        <f>SUM(E122:E129)</f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0">
        <f t="shared" si="39"/>
        <v>120969</v>
      </c>
      <c r="L130" s="7">
        <f t="shared" si="39"/>
        <v>580331</v>
      </c>
    </row>
    <row r="131" spans="1:12" x14ac:dyDescent="0.3">
      <c r="A131" s="262" t="s">
        <v>64</v>
      </c>
      <c r="B131" s="264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08">
        <v>19800</v>
      </c>
      <c r="L131" s="3">
        <f t="shared" ref="L131:L134" si="41">J131-K131</f>
        <v>19800</v>
      </c>
    </row>
    <row r="132" spans="1:12" x14ac:dyDescent="0.3">
      <c r="A132" s="263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08">
        <v>3861</v>
      </c>
      <c r="L132" s="3">
        <f t="shared" si="41"/>
        <v>3498</v>
      </c>
    </row>
    <row r="133" spans="1:12" x14ac:dyDescent="0.3">
      <c r="A133" s="262" t="s">
        <v>65</v>
      </c>
      <c r="B133" s="264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08">
        <v>679116</v>
      </c>
      <c r="L133" s="3">
        <f t="shared" si="41"/>
        <v>678042</v>
      </c>
    </row>
    <row r="134" spans="1:12" x14ac:dyDescent="0.3">
      <c r="A134" s="263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08">
        <v>132425</v>
      </c>
      <c r="L134" s="3">
        <f t="shared" si="41"/>
        <v>120902</v>
      </c>
    </row>
    <row r="135" spans="1:12" x14ac:dyDescent="0.3">
      <c r="A135" s="346" t="s">
        <v>78</v>
      </c>
      <c r="B135" s="347"/>
      <c r="C135" s="348"/>
      <c r="D135" s="122">
        <f>SUM(D120+D121+D130+D131+D132+D133+D134)</f>
        <v>8585356</v>
      </c>
      <c r="E135" s="122">
        <f>SUM(E120+E121+E130+E131+E132+E133+E134)</f>
        <v>8602107</v>
      </c>
      <c r="F135" s="122">
        <f t="shared" ref="F135:L135" si="42">SUM(F120+F121+F130+F131+F132+F133+F134)</f>
        <v>0</v>
      </c>
      <c r="G135" s="122">
        <f t="shared" si="42"/>
        <v>0</v>
      </c>
      <c r="H135" s="122">
        <f t="shared" si="42"/>
        <v>0</v>
      </c>
      <c r="I135" s="122">
        <f t="shared" si="42"/>
        <v>0</v>
      </c>
      <c r="J135" s="122">
        <f t="shared" si="42"/>
        <v>8602107</v>
      </c>
      <c r="K135" s="124">
        <f t="shared" si="42"/>
        <v>3957719</v>
      </c>
      <c r="L135" s="122">
        <f t="shared" si="42"/>
        <v>4644388</v>
      </c>
    </row>
    <row r="136" spans="1:12" x14ac:dyDescent="0.3">
      <c r="A136" s="254" t="s">
        <v>14</v>
      </c>
      <c r="B136" s="261" t="s">
        <v>23</v>
      </c>
      <c r="C136" s="2" t="s">
        <v>24</v>
      </c>
      <c r="D136" s="3">
        <v>4756797</v>
      </c>
      <c r="E136" s="3">
        <v>4688588</v>
      </c>
      <c r="F136" s="3">
        <v>-20518</v>
      </c>
      <c r="G136" s="3"/>
      <c r="H136" s="3"/>
      <c r="I136" s="3"/>
      <c r="J136" s="20">
        <f t="shared" ref="J136:J142" si="43">E136+F136+G136+H136+I136</f>
        <v>4668070</v>
      </c>
      <c r="K136" s="108">
        <v>2191576</v>
      </c>
      <c r="L136" s="3">
        <f t="shared" ref="L136:L142" si="44">J136-K136</f>
        <v>2476494</v>
      </c>
    </row>
    <row r="137" spans="1:12" x14ac:dyDescent="0.3">
      <c r="A137" s="254"/>
      <c r="B137" s="261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08">
        <v>100000</v>
      </c>
      <c r="L137" s="3">
        <f t="shared" si="44"/>
        <v>100000</v>
      </c>
    </row>
    <row r="138" spans="1:12" x14ac:dyDescent="0.3">
      <c r="A138" s="254"/>
      <c r="B138" s="261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08">
        <v>0</v>
      </c>
      <c r="L138" s="3">
        <f t="shared" si="44"/>
        <v>10000</v>
      </c>
    </row>
    <row r="139" spans="1:12" x14ac:dyDescent="0.3">
      <c r="A139" s="254"/>
      <c r="B139" s="261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08">
        <v>88970</v>
      </c>
      <c r="L139" s="3">
        <f t="shared" si="44"/>
        <v>166030</v>
      </c>
    </row>
    <row r="140" spans="1:12" x14ac:dyDescent="0.3">
      <c r="A140" s="254"/>
      <c r="B140" s="261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08">
        <v>12000</v>
      </c>
      <c r="L140" s="3">
        <f t="shared" si="44"/>
        <v>12000</v>
      </c>
    </row>
    <row r="141" spans="1:12" x14ac:dyDescent="0.3">
      <c r="A141" s="254"/>
      <c r="B141" s="261"/>
      <c r="C141" s="2" t="s">
        <v>29</v>
      </c>
      <c r="D141" s="3">
        <v>0</v>
      </c>
      <c r="E141" s="3">
        <v>77789</v>
      </c>
      <c r="F141" s="3">
        <v>20518</v>
      </c>
      <c r="G141" s="3"/>
      <c r="H141" s="3"/>
      <c r="I141" s="3"/>
      <c r="J141" s="20">
        <f t="shared" si="43"/>
        <v>98307</v>
      </c>
      <c r="K141" s="108">
        <v>98307</v>
      </c>
      <c r="L141" s="3">
        <f t="shared" si="44"/>
        <v>0</v>
      </c>
    </row>
    <row r="142" spans="1:12" x14ac:dyDescent="0.3">
      <c r="A142" s="254"/>
      <c r="B142" s="261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08">
        <v>0</v>
      </c>
      <c r="L142" s="3">
        <f t="shared" si="44"/>
        <v>0</v>
      </c>
    </row>
    <row r="143" spans="1:12" x14ac:dyDescent="0.3">
      <c r="A143" s="254"/>
      <c r="B143" s="261"/>
      <c r="C143" s="6" t="s">
        <v>53</v>
      </c>
      <c r="D143" s="7">
        <f>SUM(D136:D142)</f>
        <v>5245797</v>
      </c>
      <c r="E143" s="7">
        <f>SUM(E136:E142)</f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0">
        <f t="shared" si="45"/>
        <v>2490853</v>
      </c>
      <c r="L143" s="7">
        <f t="shared" si="45"/>
        <v>2764524</v>
      </c>
    </row>
    <row r="144" spans="1:12" x14ac:dyDescent="0.3">
      <c r="A144" s="254"/>
      <c r="B144" s="261"/>
      <c r="C144" s="82" t="s">
        <v>31</v>
      </c>
      <c r="D144" s="83">
        <v>1025121</v>
      </c>
      <c r="E144" s="83">
        <v>1026989</v>
      </c>
      <c r="F144" s="83"/>
      <c r="G144" s="83"/>
      <c r="H144" s="83"/>
      <c r="I144" s="83"/>
      <c r="J144" s="84">
        <f t="shared" ref="J144:J152" si="46">E144+F144+G144+H144+I144</f>
        <v>1026989</v>
      </c>
      <c r="K144" s="111">
        <v>506910</v>
      </c>
      <c r="L144" s="85">
        <f t="shared" ref="L144:L152" si="47">J144-K144</f>
        <v>520079</v>
      </c>
    </row>
    <row r="145" spans="1:12" x14ac:dyDescent="0.3">
      <c r="A145" s="254"/>
      <c r="B145" s="261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08">
        <v>0</v>
      </c>
      <c r="L145" s="3">
        <f t="shared" si="47"/>
        <v>80000</v>
      </c>
    </row>
    <row r="146" spans="1:12" x14ac:dyDescent="0.3">
      <c r="A146" s="254"/>
      <c r="B146" s="261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08">
        <v>0</v>
      </c>
      <c r="L146" s="3">
        <f t="shared" si="47"/>
        <v>110000</v>
      </c>
    </row>
    <row r="147" spans="1:12" x14ac:dyDescent="0.3">
      <c r="A147" s="254"/>
      <c r="B147" s="261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08">
        <v>0</v>
      </c>
      <c r="L147" s="3">
        <f t="shared" si="47"/>
        <v>136000</v>
      </c>
    </row>
    <row r="148" spans="1:12" x14ac:dyDescent="0.3">
      <c r="A148" s="254"/>
      <c r="B148" s="261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08">
        <v>0</v>
      </c>
      <c r="L148" s="3">
        <f t="shared" si="47"/>
        <v>144000</v>
      </c>
    </row>
    <row r="149" spans="1:12" x14ac:dyDescent="0.3">
      <c r="A149" s="254"/>
      <c r="B149" s="261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08">
        <v>3400</v>
      </c>
      <c r="L149" s="3">
        <f t="shared" si="47"/>
        <v>13400</v>
      </c>
    </row>
    <row r="150" spans="1:12" x14ac:dyDescent="0.3">
      <c r="A150" s="254"/>
      <c r="B150" s="261"/>
      <c r="C150" s="2" t="s">
        <v>41</v>
      </c>
      <c r="D150" s="3">
        <v>40000</v>
      </c>
      <c r="E150" s="3">
        <v>54000</v>
      </c>
      <c r="F150" s="3">
        <v>6280</v>
      </c>
      <c r="G150" s="3"/>
      <c r="H150" s="3"/>
      <c r="I150" s="3"/>
      <c r="J150" s="20">
        <f t="shared" si="46"/>
        <v>60280</v>
      </c>
      <c r="K150" s="108">
        <v>50980</v>
      </c>
      <c r="L150" s="3">
        <f t="shared" si="47"/>
        <v>9300</v>
      </c>
    </row>
    <row r="151" spans="1:12" x14ac:dyDescent="0.3">
      <c r="A151" s="254"/>
      <c r="B151" s="261"/>
      <c r="C151" s="2" t="s">
        <v>42</v>
      </c>
      <c r="D151" s="3">
        <v>150000</v>
      </c>
      <c r="E151" s="3">
        <v>150000</v>
      </c>
      <c r="F151" s="3">
        <v>-6280</v>
      </c>
      <c r="G151" s="3"/>
      <c r="H151" s="3"/>
      <c r="I151" s="3"/>
      <c r="J151" s="20">
        <f t="shared" si="46"/>
        <v>143720</v>
      </c>
      <c r="K151" s="108">
        <v>57015</v>
      </c>
      <c r="L151" s="3">
        <f t="shared" si="47"/>
        <v>86705</v>
      </c>
    </row>
    <row r="152" spans="1:12" x14ac:dyDescent="0.3">
      <c r="A152" s="254"/>
      <c r="B152" s="261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08">
        <v>8365</v>
      </c>
      <c r="L152" s="3">
        <f t="shared" si="47"/>
        <v>133115</v>
      </c>
    </row>
    <row r="153" spans="1:12" x14ac:dyDescent="0.3">
      <c r="A153" s="254"/>
      <c r="B153" s="261"/>
      <c r="C153" s="6" t="s">
        <v>49</v>
      </c>
      <c r="D153" s="7">
        <f>SUM(D145:D152)</f>
        <v>832280</v>
      </c>
      <c r="E153" s="7">
        <f>SUM(E145:E152)</f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0">
        <f t="shared" si="48"/>
        <v>119760</v>
      </c>
      <c r="L153" s="7">
        <f t="shared" si="48"/>
        <v>712520</v>
      </c>
    </row>
    <row r="154" spans="1:12" x14ac:dyDescent="0.3">
      <c r="A154" s="262" t="s">
        <v>66</v>
      </c>
      <c r="B154" s="264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08">
        <v>404926</v>
      </c>
      <c r="L154" s="3">
        <f t="shared" ref="L154:L155" si="50">J154-K154</f>
        <v>427702</v>
      </c>
    </row>
    <row r="155" spans="1:12" x14ac:dyDescent="0.3">
      <c r="A155" s="263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08">
        <v>78960</v>
      </c>
      <c r="L155" s="3">
        <f t="shared" si="50"/>
        <v>76450</v>
      </c>
    </row>
    <row r="156" spans="1:12" x14ac:dyDescent="0.3">
      <c r="A156" s="346" t="s">
        <v>79</v>
      </c>
      <c r="B156" s="347"/>
      <c r="C156" s="348"/>
      <c r="D156" s="122">
        <f>SUM(D143+D144+D153+D154+D155)</f>
        <v>8091236</v>
      </c>
      <c r="E156" s="122">
        <f>SUM(E143+E144+E153+E154+E155)</f>
        <v>8102684</v>
      </c>
      <c r="F156" s="122">
        <f t="shared" ref="F156:L156" si="51">SUM(F143+F144+F153+F154+F155)</f>
        <v>0</v>
      </c>
      <c r="G156" s="122">
        <f t="shared" si="51"/>
        <v>0</v>
      </c>
      <c r="H156" s="122">
        <f t="shared" si="51"/>
        <v>0</v>
      </c>
      <c r="I156" s="122">
        <f t="shared" si="51"/>
        <v>0</v>
      </c>
      <c r="J156" s="122">
        <f t="shared" si="51"/>
        <v>8102684</v>
      </c>
      <c r="K156" s="124">
        <f t="shared" si="51"/>
        <v>3601409</v>
      </c>
      <c r="L156" s="122">
        <f t="shared" si="51"/>
        <v>4501275</v>
      </c>
    </row>
    <row r="157" spans="1:12" x14ac:dyDescent="0.3">
      <c r="A157" s="254" t="s">
        <v>55</v>
      </c>
      <c r="B157" s="261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08">
        <v>2430996</v>
      </c>
      <c r="L157" s="3">
        <f t="shared" ref="L157:L162" si="53">J157-K157</f>
        <v>2624873</v>
      </c>
    </row>
    <row r="158" spans="1:12" x14ac:dyDescent="0.3">
      <c r="A158" s="254"/>
      <c r="B158" s="261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08">
        <v>212500</v>
      </c>
      <c r="L158" s="3">
        <f t="shared" si="53"/>
        <v>212500</v>
      </c>
    </row>
    <row r="159" spans="1:12" x14ac:dyDescent="0.3">
      <c r="A159" s="254"/>
      <c r="B159" s="261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08">
        <v>0</v>
      </c>
      <c r="L159" s="3">
        <f t="shared" si="53"/>
        <v>10000</v>
      </c>
    </row>
    <row r="160" spans="1:12" x14ac:dyDescent="0.3">
      <c r="A160" s="254"/>
      <c r="B160" s="261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08">
        <v>12000</v>
      </c>
      <c r="L160" s="3">
        <f t="shared" si="53"/>
        <v>12000</v>
      </c>
    </row>
    <row r="161" spans="1:12" x14ac:dyDescent="0.3">
      <c r="A161" s="254"/>
      <c r="B161" s="261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08">
        <v>0</v>
      </c>
      <c r="L161" s="3">
        <f t="shared" si="53"/>
        <v>75000</v>
      </c>
    </row>
    <row r="162" spans="1:12" x14ac:dyDescent="0.3">
      <c r="A162" s="254"/>
      <c r="B162" s="261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08">
        <v>0</v>
      </c>
      <c r="L162" s="3">
        <f t="shared" si="53"/>
        <v>0</v>
      </c>
    </row>
    <row r="163" spans="1:12" x14ac:dyDescent="0.3">
      <c r="A163" s="254"/>
      <c r="B163" s="261"/>
      <c r="C163" s="6" t="s">
        <v>53</v>
      </c>
      <c r="D163" s="7">
        <f>SUM(D157:D162)</f>
        <v>5589869</v>
      </c>
      <c r="E163" s="7">
        <f>SUM(E157:E162)</f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0">
        <f t="shared" si="54"/>
        <v>2655496</v>
      </c>
      <c r="L163" s="7">
        <f t="shared" si="54"/>
        <v>2934373</v>
      </c>
    </row>
    <row r="164" spans="1:12" x14ac:dyDescent="0.3">
      <c r="A164" s="254"/>
      <c r="B164" s="261"/>
      <c r="C164" s="82" t="s">
        <v>31</v>
      </c>
      <c r="D164" s="83">
        <v>1124913</v>
      </c>
      <c r="E164" s="83">
        <v>1124913</v>
      </c>
      <c r="F164" s="83"/>
      <c r="G164" s="83"/>
      <c r="H164" s="83"/>
      <c r="I164" s="83"/>
      <c r="J164" s="84">
        <f t="shared" ref="J164:J173" si="55">E164+F164+G164+H164+I164</f>
        <v>1124913</v>
      </c>
      <c r="K164" s="111">
        <v>556361</v>
      </c>
      <c r="L164" s="85">
        <f t="shared" ref="L164:L173" si="56">J164-K164</f>
        <v>568552</v>
      </c>
    </row>
    <row r="165" spans="1:12" x14ac:dyDescent="0.3">
      <c r="A165" s="254"/>
      <c r="B165" s="261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08">
        <v>0</v>
      </c>
      <c r="L165" s="3">
        <f t="shared" si="56"/>
        <v>100000</v>
      </c>
    </row>
    <row r="166" spans="1:12" x14ac:dyDescent="0.3">
      <c r="A166" s="254"/>
      <c r="B166" s="261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08">
        <v>0</v>
      </c>
      <c r="L166" s="3">
        <f t="shared" si="56"/>
        <v>100000</v>
      </c>
    </row>
    <row r="167" spans="1:12" x14ac:dyDescent="0.3">
      <c r="A167" s="254"/>
      <c r="B167" s="261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08">
        <v>0</v>
      </c>
      <c r="L167" s="3">
        <f t="shared" si="56"/>
        <v>100000</v>
      </c>
    </row>
    <row r="168" spans="1:12" x14ac:dyDescent="0.3">
      <c r="A168" s="254"/>
      <c r="B168" s="261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08">
        <v>0</v>
      </c>
      <c r="L168" s="3">
        <f t="shared" si="56"/>
        <v>50000</v>
      </c>
    </row>
    <row r="169" spans="1:12" x14ac:dyDescent="0.3">
      <c r="A169" s="254"/>
      <c r="B169" s="261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08">
        <v>26259</v>
      </c>
      <c r="L169" s="3">
        <f t="shared" si="56"/>
        <v>113741</v>
      </c>
    </row>
    <row r="170" spans="1:12" x14ac:dyDescent="0.3">
      <c r="A170" s="254"/>
      <c r="B170" s="261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08">
        <v>2950</v>
      </c>
      <c r="L170" s="3">
        <f t="shared" si="56"/>
        <v>12050</v>
      </c>
    </row>
    <row r="171" spans="1:12" x14ac:dyDescent="0.3">
      <c r="A171" s="254"/>
      <c r="B171" s="261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55"/>
        <v>80000</v>
      </c>
      <c r="K171" s="108">
        <v>30980</v>
      </c>
      <c r="L171" s="3">
        <f t="shared" si="56"/>
        <v>49020</v>
      </c>
    </row>
    <row r="172" spans="1:12" x14ac:dyDescent="0.3">
      <c r="A172" s="254"/>
      <c r="B172" s="261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08">
        <v>138980</v>
      </c>
      <c r="L172" s="3">
        <f t="shared" si="56"/>
        <v>101020</v>
      </c>
    </row>
    <row r="173" spans="1:12" x14ac:dyDescent="0.3">
      <c r="A173" s="254"/>
      <c r="B173" s="261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55"/>
        <v>142900</v>
      </c>
      <c r="K173" s="108">
        <v>15455</v>
      </c>
      <c r="L173" s="3">
        <f t="shared" si="56"/>
        <v>127445</v>
      </c>
    </row>
    <row r="174" spans="1:12" x14ac:dyDescent="0.3">
      <c r="A174" s="254"/>
      <c r="B174" s="261"/>
      <c r="C174" s="6" t="s">
        <v>49</v>
      </c>
      <c r="D174" s="7">
        <f>SUM(D165:D173)</f>
        <v>967900</v>
      </c>
      <c r="E174" s="7">
        <f>SUM(E165:E173)</f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0">
        <f t="shared" si="57"/>
        <v>214624</v>
      </c>
      <c r="L174" s="7">
        <f t="shared" si="57"/>
        <v>753276</v>
      </c>
    </row>
    <row r="175" spans="1:12" x14ac:dyDescent="0.3">
      <c r="A175" s="262" t="s">
        <v>67</v>
      </c>
      <c r="B175" s="264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08">
        <v>39600</v>
      </c>
      <c r="L175" s="3">
        <f t="shared" ref="L175:L191" si="59">J175-K175</f>
        <v>117600</v>
      </c>
    </row>
    <row r="176" spans="1:12" x14ac:dyDescent="0.3">
      <c r="A176" s="263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08">
        <v>7723</v>
      </c>
      <c r="L176" s="3">
        <f t="shared" si="59"/>
        <v>21490</v>
      </c>
    </row>
    <row r="177" spans="1:12" x14ac:dyDescent="0.3">
      <c r="A177" s="262" t="s">
        <v>75</v>
      </c>
      <c r="B177" s="264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08">
        <v>819437</v>
      </c>
      <c r="L177" s="3">
        <f t="shared" si="59"/>
        <v>785072</v>
      </c>
    </row>
    <row r="178" spans="1:12" x14ac:dyDescent="0.3">
      <c r="A178" s="263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08">
        <v>159792</v>
      </c>
      <c r="L178" s="3">
        <f t="shared" si="59"/>
        <v>139327</v>
      </c>
    </row>
    <row r="179" spans="1:12" x14ac:dyDescent="0.3">
      <c r="A179" s="345" t="s">
        <v>80</v>
      </c>
      <c r="B179" s="345"/>
      <c r="C179" s="345"/>
      <c r="D179" s="123">
        <f>SUM(D163+D164+D174+D175+D176+D177+D178)</f>
        <v>9772723</v>
      </c>
      <c r="E179" s="123">
        <f>SUM(E163+E164+E174+E175+E176+E177+E178)</f>
        <v>9772723</v>
      </c>
      <c r="F179" s="123">
        <f t="shared" ref="F179:L179" si="60">SUM(F163+F164+F174+F175+F176+F177+F178)</f>
        <v>0</v>
      </c>
      <c r="G179" s="123">
        <f t="shared" si="60"/>
        <v>0</v>
      </c>
      <c r="H179" s="123">
        <f t="shared" si="60"/>
        <v>0</v>
      </c>
      <c r="I179" s="123">
        <f t="shared" si="60"/>
        <v>0</v>
      </c>
      <c r="J179" s="123">
        <f t="shared" si="60"/>
        <v>9772723</v>
      </c>
      <c r="K179" s="124">
        <f t="shared" si="60"/>
        <v>4453033</v>
      </c>
      <c r="L179" s="123">
        <f t="shared" si="60"/>
        <v>5319690</v>
      </c>
    </row>
    <row r="180" spans="1:12" x14ac:dyDescent="0.3">
      <c r="A180" s="254" t="s">
        <v>15</v>
      </c>
      <c r="B180" s="264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4542050</v>
      </c>
      <c r="L180" s="3">
        <f t="shared" si="59"/>
        <v>6602010</v>
      </c>
    </row>
    <row r="181" spans="1:12" x14ac:dyDescent="0.3">
      <c r="A181" s="254"/>
      <c r="B181" s="268"/>
      <c r="C181" s="43" t="s">
        <v>30</v>
      </c>
      <c r="D181" s="44">
        <v>0</v>
      </c>
      <c r="E181" s="44">
        <v>10500000</v>
      </c>
      <c r="F181" s="44"/>
      <c r="G181" s="44"/>
      <c r="H181" s="44"/>
      <c r="I181" s="44"/>
      <c r="J181" s="20">
        <f t="shared" si="58"/>
        <v>10500000</v>
      </c>
      <c r="K181" s="56">
        <v>0</v>
      </c>
      <c r="L181" s="3">
        <f t="shared" si="59"/>
        <v>10500000</v>
      </c>
    </row>
    <row r="182" spans="1:12" x14ac:dyDescent="0.3">
      <c r="A182" s="254"/>
      <c r="B182" s="268"/>
      <c r="C182" s="6" t="s">
        <v>53</v>
      </c>
      <c r="D182" s="7">
        <f>D180+D181</f>
        <v>11144060</v>
      </c>
      <c r="E182" s="7">
        <f>E180+E181</f>
        <v>21644060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21644060</v>
      </c>
      <c r="K182" s="113">
        <f t="shared" si="61"/>
        <v>4542050</v>
      </c>
      <c r="L182" s="7">
        <f t="shared" si="61"/>
        <v>17102010</v>
      </c>
    </row>
    <row r="183" spans="1:12" x14ac:dyDescent="0.3">
      <c r="A183" s="254"/>
      <c r="B183" s="268"/>
      <c r="C183" s="82" t="s">
        <v>31</v>
      </c>
      <c r="D183" s="83">
        <v>2295657</v>
      </c>
      <c r="E183" s="83">
        <v>2295657</v>
      </c>
      <c r="F183" s="83"/>
      <c r="G183" s="83"/>
      <c r="H183" s="83"/>
      <c r="I183" s="83"/>
      <c r="J183" s="85">
        <f t="shared" si="58"/>
        <v>2295657</v>
      </c>
      <c r="K183" s="111">
        <v>1868846</v>
      </c>
      <c r="L183" s="85">
        <f t="shared" si="59"/>
        <v>426811</v>
      </c>
    </row>
    <row r="184" spans="1:12" x14ac:dyDescent="0.3">
      <c r="A184" s="254"/>
      <c r="B184" s="268"/>
      <c r="C184" s="10" t="s">
        <v>33</v>
      </c>
      <c r="D184" s="3">
        <v>90000</v>
      </c>
      <c r="E184" s="3">
        <v>90000</v>
      </c>
      <c r="F184" s="3"/>
      <c r="G184" s="3"/>
      <c r="H184" s="3"/>
      <c r="I184" s="3"/>
      <c r="J184" s="3">
        <f t="shared" si="58"/>
        <v>90000</v>
      </c>
      <c r="K184" s="108">
        <v>0</v>
      </c>
      <c r="L184" s="3">
        <f t="shared" si="59"/>
        <v>90000</v>
      </c>
    </row>
    <row r="185" spans="1:12" x14ac:dyDescent="0.3">
      <c r="A185" s="254"/>
      <c r="B185" s="268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08">
        <v>0</v>
      </c>
      <c r="L185" s="3">
        <f t="shared" si="59"/>
        <v>230000</v>
      </c>
    </row>
    <row r="186" spans="1:12" x14ac:dyDescent="0.3">
      <c r="A186" s="254"/>
      <c r="B186" s="268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08">
        <v>0</v>
      </c>
      <c r="L186" s="3">
        <f t="shared" si="59"/>
        <v>14850000</v>
      </c>
    </row>
    <row r="187" spans="1:12" x14ac:dyDescent="0.3">
      <c r="A187" s="254"/>
      <c r="B187" s="268"/>
      <c r="C187" s="10" t="s">
        <v>41</v>
      </c>
      <c r="D187" s="3">
        <v>25112271</v>
      </c>
      <c r="E187" s="3">
        <v>6344554</v>
      </c>
      <c r="F187" s="3"/>
      <c r="G187" s="3"/>
      <c r="H187" s="3"/>
      <c r="I187" s="3"/>
      <c r="J187" s="3">
        <f t="shared" si="58"/>
        <v>6344554</v>
      </c>
      <c r="K187" s="108">
        <v>5250010</v>
      </c>
      <c r="L187" s="3">
        <f t="shared" si="59"/>
        <v>1094544</v>
      </c>
    </row>
    <row r="188" spans="1:12" x14ac:dyDescent="0.3">
      <c r="A188" s="254"/>
      <c r="B188" s="268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08">
        <v>25135</v>
      </c>
      <c r="L188" s="3">
        <f t="shared" si="59"/>
        <v>204865</v>
      </c>
    </row>
    <row r="189" spans="1:12" x14ac:dyDescent="0.3">
      <c r="A189" s="254"/>
      <c r="B189" s="268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08">
        <v>0</v>
      </c>
      <c r="L189" s="3">
        <f t="shared" si="59"/>
        <v>230000</v>
      </c>
    </row>
    <row r="190" spans="1:12" x14ac:dyDescent="0.3">
      <c r="A190" s="254"/>
      <c r="B190" s="268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08">
        <v>1417500</v>
      </c>
      <c r="L190" s="3">
        <f t="shared" si="59"/>
        <v>2028047</v>
      </c>
    </row>
    <row r="191" spans="1:12" x14ac:dyDescent="0.3">
      <c r="A191" s="254"/>
      <c r="B191" s="268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08">
        <v>0</v>
      </c>
      <c r="L191" s="3">
        <f t="shared" si="59"/>
        <v>229990</v>
      </c>
    </row>
    <row r="192" spans="1:12" x14ac:dyDescent="0.3">
      <c r="A192" s="254"/>
      <c r="B192" s="268"/>
      <c r="C192" s="6" t="s">
        <v>49</v>
      </c>
      <c r="D192" s="7">
        <f>SUM(D184:D191)</f>
        <v>46650091</v>
      </c>
      <c r="E192" s="7">
        <f>SUM(E184:E191)</f>
        <v>25650091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25650091</v>
      </c>
      <c r="K192" s="110">
        <f t="shared" si="62"/>
        <v>6692645</v>
      </c>
      <c r="L192" s="7">
        <f t="shared" si="62"/>
        <v>18957446</v>
      </c>
    </row>
    <row r="193" spans="1:12" x14ac:dyDescent="0.3">
      <c r="A193" s="254"/>
      <c r="B193" s="268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08">
        <v>0</v>
      </c>
      <c r="L193" s="3">
        <f t="shared" ref="L193:L195" si="64">J193-K193</f>
        <v>0</v>
      </c>
    </row>
    <row r="194" spans="1:12" x14ac:dyDescent="0.3">
      <c r="A194" s="254"/>
      <c r="B194" s="268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08">
        <v>0</v>
      </c>
      <c r="L194" s="3">
        <f t="shared" si="64"/>
        <v>3740</v>
      </c>
    </row>
    <row r="195" spans="1:12" x14ac:dyDescent="0.3">
      <c r="A195" s="254"/>
      <c r="B195" s="268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08">
        <v>0</v>
      </c>
      <c r="L195" s="3">
        <f t="shared" si="64"/>
        <v>1010</v>
      </c>
    </row>
    <row r="196" spans="1:12" x14ac:dyDescent="0.3">
      <c r="A196" s="254"/>
      <c r="B196" s="268"/>
      <c r="C196" s="6" t="s">
        <v>52</v>
      </c>
      <c r="D196" s="7">
        <f>SUM(D193:D195)</f>
        <v>4750</v>
      </c>
      <c r="E196" s="7">
        <f>SUM(E193:E195)</f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0">
        <f t="shared" si="65"/>
        <v>0</v>
      </c>
      <c r="L196" s="7">
        <f t="shared" si="65"/>
        <v>4750</v>
      </c>
    </row>
    <row r="197" spans="1:12" x14ac:dyDescent="0.3">
      <c r="A197" s="254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08">
        <v>10500000</v>
      </c>
      <c r="L197" s="3">
        <f t="shared" ref="L197" si="67">J197-K197</f>
        <v>0</v>
      </c>
    </row>
    <row r="198" spans="1:12" x14ac:dyDescent="0.3">
      <c r="A198" s="346" t="s">
        <v>81</v>
      </c>
      <c r="B198" s="347"/>
      <c r="C198" s="348"/>
      <c r="D198" s="122">
        <f>SUM(D182+D183+D192+D196+D197)</f>
        <v>60094558</v>
      </c>
      <c r="E198" s="122">
        <f t="shared" ref="E198:L198" si="68">SUM(E182+E183+E192+E196+E197)</f>
        <v>60094558</v>
      </c>
      <c r="F198" s="122">
        <f t="shared" si="68"/>
        <v>0</v>
      </c>
      <c r="G198" s="122">
        <f t="shared" si="68"/>
        <v>0</v>
      </c>
      <c r="H198" s="122">
        <f t="shared" si="68"/>
        <v>0</v>
      </c>
      <c r="I198" s="122">
        <f t="shared" si="68"/>
        <v>0</v>
      </c>
      <c r="J198" s="122">
        <f t="shared" si="68"/>
        <v>60094558</v>
      </c>
      <c r="K198" s="124">
        <f t="shared" si="68"/>
        <v>23603541</v>
      </c>
      <c r="L198" s="122">
        <f t="shared" si="68"/>
        <v>36491017</v>
      </c>
    </row>
    <row r="199" spans="1:12" x14ac:dyDescent="0.3">
      <c r="A199" s="285" t="s">
        <v>85</v>
      </c>
      <c r="B199" s="264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08">
        <v>4460055</v>
      </c>
      <c r="L199" s="3">
        <f t="shared" ref="L199:L204" si="70">J199-K199</f>
        <v>5202707</v>
      </c>
    </row>
    <row r="200" spans="1:12" x14ac:dyDescent="0.3">
      <c r="A200" s="285"/>
      <c r="B200" s="268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08">
        <v>200000</v>
      </c>
      <c r="L200" s="3">
        <f t="shared" si="70"/>
        <v>200000</v>
      </c>
    </row>
    <row r="201" spans="1:12" x14ac:dyDescent="0.3">
      <c r="A201" s="285"/>
      <c r="B201" s="268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08">
        <v>0</v>
      </c>
      <c r="L201" s="3">
        <f t="shared" si="70"/>
        <v>20000</v>
      </c>
    </row>
    <row r="202" spans="1:12" x14ac:dyDescent="0.3">
      <c r="A202" s="285"/>
      <c r="B202" s="268"/>
      <c r="C202" s="2" t="s">
        <v>27</v>
      </c>
      <c r="D202" s="3">
        <v>75000</v>
      </c>
      <c r="E202" s="3">
        <v>75000</v>
      </c>
      <c r="F202" s="3">
        <v>5202</v>
      </c>
      <c r="G202" s="3"/>
      <c r="H202" s="3"/>
      <c r="I202" s="3"/>
      <c r="J202" s="20">
        <f t="shared" si="69"/>
        <v>80202</v>
      </c>
      <c r="K202" s="108">
        <v>5202</v>
      </c>
      <c r="L202" s="3">
        <f t="shared" si="70"/>
        <v>75000</v>
      </c>
    </row>
    <row r="203" spans="1:12" x14ac:dyDescent="0.3">
      <c r="A203" s="285"/>
      <c r="B203" s="268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08">
        <v>24000</v>
      </c>
      <c r="L203" s="3">
        <f t="shared" si="70"/>
        <v>24000</v>
      </c>
    </row>
    <row r="204" spans="1:12" x14ac:dyDescent="0.3">
      <c r="A204" s="285"/>
      <c r="B204" s="268"/>
      <c r="C204" s="2" t="s">
        <v>29</v>
      </c>
      <c r="D204" s="3">
        <v>264000</v>
      </c>
      <c r="E204" s="3">
        <v>481403</v>
      </c>
      <c r="F204" s="3"/>
      <c r="G204" s="3"/>
      <c r="H204" s="3"/>
      <c r="I204" s="3"/>
      <c r="J204" s="20">
        <f t="shared" si="69"/>
        <v>481403</v>
      </c>
      <c r="K204" s="108">
        <v>325203</v>
      </c>
      <c r="L204" s="3">
        <f t="shared" si="70"/>
        <v>156200</v>
      </c>
    </row>
    <row r="205" spans="1:12" x14ac:dyDescent="0.3">
      <c r="A205" s="285"/>
      <c r="B205" s="268"/>
      <c r="C205" s="26" t="s">
        <v>53</v>
      </c>
      <c r="D205" s="7">
        <f>SUM(D199:D204)</f>
        <v>10687165</v>
      </c>
      <c r="E205" s="7">
        <f>SUM(E199:E204)</f>
        <v>10687165</v>
      </c>
      <c r="F205" s="7">
        <f t="shared" ref="F205:L205" si="71">SUM(F199:F204)</f>
        <v>5202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10692367</v>
      </c>
      <c r="K205" s="110">
        <f t="shared" si="71"/>
        <v>5014460</v>
      </c>
      <c r="L205" s="7">
        <f t="shared" si="71"/>
        <v>5677907</v>
      </c>
    </row>
    <row r="206" spans="1:12" x14ac:dyDescent="0.3">
      <c r="A206" s="285"/>
      <c r="B206" s="268"/>
      <c r="C206" s="86" t="s">
        <v>31</v>
      </c>
      <c r="D206" s="87">
        <v>2120857</v>
      </c>
      <c r="E206" s="87">
        <v>2120857</v>
      </c>
      <c r="F206" s="88"/>
      <c r="G206" s="88"/>
      <c r="H206" s="88"/>
      <c r="I206" s="88"/>
      <c r="J206" s="84">
        <f t="shared" ref="J206:J213" si="72">E206+F206+G206+H206+I206</f>
        <v>2120857</v>
      </c>
      <c r="K206" s="111">
        <v>994251</v>
      </c>
      <c r="L206" s="85">
        <f t="shared" ref="L206:L213" si="73">J206-K206</f>
        <v>1126606</v>
      </c>
    </row>
    <row r="207" spans="1:12" x14ac:dyDescent="0.3">
      <c r="A207" s="285"/>
      <c r="B207" s="268"/>
      <c r="C207" s="99" t="s">
        <v>33</v>
      </c>
      <c r="D207" s="100">
        <v>0</v>
      </c>
      <c r="E207" s="100">
        <v>186928</v>
      </c>
      <c r="F207" s="100"/>
      <c r="G207" s="100"/>
      <c r="H207" s="100"/>
      <c r="I207" s="100"/>
      <c r="J207" s="20">
        <f t="shared" si="72"/>
        <v>186928</v>
      </c>
      <c r="K207" s="114">
        <v>30769</v>
      </c>
      <c r="L207" s="3">
        <f t="shared" si="73"/>
        <v>156159</v>
      </c>
    </row>
    <row r="208" spans="1:12" x14ac:dyDescent="0.3">
      <c r="A208" s="285"/>
      <c r="B208" s="268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4">
        <v>22812</v>
      </c>
      <c r="L208" s="3">
        <f t="shared" si="73"/>
        <v>149988</v>
      </c>
    </row>
    <row r="209" spans="1:12" x14ac:dyDescent="0.3">
      <c r="A209" s="285"/>
      <c r="B209" s="268"/>
      <c r="C209" s="98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4">
        <v>3500</v>
      </c>
      <c r="L209" s="3">
        <f t="shared" si="73"/>
        <v>0</v>
      </c>
    </row>
    <row r="210" spans="1:12" x14ac:dyDescent="0.3">
      <c r="A210" s="285"/>
      <c r="B210" s="268"/>
      <c r="C210" s="131" t="s">
        <v>41</v>
      </c>
      <c r="D210" s="47">
        <v>0</v>
      </c>
      <c r="E210" s="47">
        <v>0</v>
      </c>
      <c r="F210" s="47">
        <v>1685</v>
      </c>
      <c r="G210" s="47"/>
      <c r="H210" s="47"/>
      <c r="I210" s="47"/>
      <c r="J210" s="20">
        <f t="shared" si="72"/>
        <v>1685</v>
      </c>
      <c r="K210" s="114">
        <v>1685</v>
      </c>
      <c r="L210" s="3">
        <f t="shared" si="73"/>
        <v>0</v>
      </c>
    </row>
    <row r="211" spans="1:12" x14ac:dyDescent="0.3">
      <c r="A211" s="285"/>
      <c r="B211" s="268"/>
      <c r="C211" s="46" t="s">
        <v>42</v>
      </c>
      <c r="D211" s="47">
        <v>0</v>
      </c>
      <c r="E211" s="47">
        <v>64600</v>
      </c>
      <c r="F211" s="47">
        <v>7285</v>
      </c>
      <c r="G211" s="47"/>
      <c r="H211" s="47"/>
      <c r="I211" s="47"/>
      <c r="J211" s="20">
        <f t="shared" si="72"/>
        <v>71885</v>
      </c>
      <c r="K211" s="114">
        <v>71885</v>
      </c>
      <c r="L211" s="3">
        <f t="shared" si="73"/>
        <v>0</v>
      </c>
    </row>
    <row r="212" spans="1:12" x14ac:dyDescent="0.3">
      <c r="A212" s="285"/>
      <c r="B212" s="268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4">
        <v>35641</v>
      </c>
      <c r="L212" s="3">
        <f t="shared" si="73"/>
        <v>75915</v>
      </c>
    </row>
    <row r="213" spans="1:12" x14ac:dyDescent="0.3">
      <c r="A213" s="285"/>
      <c r="B213" s="268"/>
      <c r="C213" s="46" t="s">
        <v>45</v>
      </c>
      <c r="D213" s="47">
        <v>0</v>
      </c>
      <c r="E213" s="47">
        <v>276854</v>
      </c>
      <c r="F213" s="47"/>
      <c r="G213" s="47"/>
      <c r="H213" s="47"/>
      <c r="I213" s="47"/>
      <c r="J213" s="20">
        <f t="shared" si="72"/>
        <v>276854</v>
      </c>
      <c r="K213" s="114">
        <v>184479</v>
      </c>
      <c r="L213" s="3">
        <f t="shared" si="73"/>
        <v>92375</v>
      </c>
    </row>
    <row r="214" spans="1:12" x14ac:dyDescent="0.3">
      <c r="A214" s="263"/>
      <c r="B214" s="265"/>
      <c r="C214" s="49" t="s">
        <v>49</v>
      </c>
      <c r="D214" s="50">
        <f>SUM(D207:D213)</f>
        <v>0</v>
      </c>
      <c r="E214" s="50">
        <f>SUM(E207:E213)</f>
        <v>816238</v>
      </c>
      <c r="F214" s="50">
        <f t="shared" ref="F214:L214" si="74">SUM(F207:F213)</f>
        <v>8970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825208</v>
      </c>
      <c r="K214" s="115">
        <f>SUM(K207:K213)</f>
        <v>350771</v>
      </c>
      <c r="L214" s="50">
        <f t="shared" si="74"/>
        <v>474437</v>
      </c>
    </row>
    <row r="215" spans="1:12" x14ac:dyDescent="0.3">
      <c r="A215" s="254" t="s">
        <v>68</v>
      </c>
      <c r="B215" s="279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08">
        <v>1243248</v>
      </c>
      <c r="L215" s="3">
        <f t="shared" ref="L215:L216" si="75">J215-K215</f>
        <v>1258308</v>
      </c>
    </row>
    <row r="216" spans="1:12" x14ac:dyDescent="0.3">
      <c r="A216" s="262"/>
      <c r="B216" s="280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08">
        <v>242430</v>
      </c>
      <c r="L216" s="3">
        <f t="shared" si="75"/>
        <v>224139</v>
      </c>
    </row>
    <row r="217" spans="1:12" x14ac:dyDescent="0.3">
      <c r="A217" s="346" t="s">
        <v>82</v>
      </c>
      <c r="B217" s="347"/>
      <c r="C217" s="348"/>
      <c r="D217" s="125">
        <f>SUM(D205+D206+D215+D216+D214)</f>
        <v>15776147</v>
      </c>
      <c r="E217" s="125">
        <f>SUM(E205+E206+E215+E216+E214)</f>
        <v>16592385</v>
      </c>
      <c r="F217" s="125">
        <f t="shared" ref="F217:I217" si="77">SUM(F205+F206+F215+F216+F214)</f>
        <v>14172</v>
      </c>
      <c r="G217" s="125">
        <f t="shared" si="77"/>
        <v>0</v>
      </c>
      <c r="H217" s="125">
        <f t="shared" si="77"/>
        <v>0</v>
      </c>
      <c r="I217" s="125">
        <f t="shared" si="77"/>
        <v>0</v>
      </c>
      <c r="J217" s="125">
        <f>SUM(J205+J206+J215+J216+J214)</f>
        <v>16606557</v>
      </c>
      <c r="K217" s="126">
        <f>SUM(K205+K206+K215+K216+K214)</f>
        <v>7845160</v>
      </c>
      <c r="L217" s="127">
        <f>SUM(L205+L206+L215+L216+L214)</f>
        <v>8761397</v>
      </c>
    </row>
    <row r="218" spans="1:12" ht="30.75" customHeight="1" x14ac:dyDescent="0.3">
      <c r="A218" s="349" t="s">
        <v>74</v>
      </c>
      <c r="B218" s="350"/>
      <c r="C218" s="351"/>
      <c r="D218" s="128">
        <f t="shared" ref="D218:E218" si="78">SUM(D88+D113+D135+D156+D179+D198+D217)</f>
        <v>230443641</v>
      </c>
      <c r="E218" s="128">
        <f t="shared" si="78"/>
        <v>230521849</v>
      </c>
      <c r="F218" s="128">
        <f t="shared" ref="F218:K218" si="79">SUM(F88+F113+F135+F156+F179+F198+F217)</f>
        <v>0</v>
      </c>
      <c r="G218" s="128">
        <f t="shared" si="79"/>
        <v>0</v>
      </c>
      <c r="H218" s="128">
        <f t="shared" si="79"/>
        <v>0</v>
      </c>
      <c r="I218" s="128">
        <f t="shared" si="79"/>
        <v>0</v>
      </c>
      <c r="J218" s="128">
        <f t="shared" si="79"/>
        <v>230521849</v>
      </c>
      <c r="K218" s="129">
        <f t="shared" si="79"/>
        <v>98745308</v>
      </c>
      <c r="L218" s="128">
        <f>SUM(L88+L113+L135+L156+L179+L198+L217)</f>
        <v>131776541</v>
      </c>
    </row>
    <row r="219" spans="1:12" x14ac:dyDescent="0.3">
      <c r="B219" s="5"/>
      <c r="E219" s="4"/>
      <c r="F219" s="4"/>
      <c r="G219" s="4"/>
      <c r="H219" s="4"/>
      <c r="I219" s="4"/>
      <c r="J219" s="4"/>
      <c r="K219" s="107"/>
    </row>
    <row r="220" spans="1:12" x14ac:dyDescent="0.3">
      <c r="B220" s="5"/>
      <c r="E220" s="4"/>
      <c r="F220" s="4"/>
      <c r="G220" s="4"/>
      <c r="H220" s="4"/>
      <c r="I220" s="4"/>
      <c r="J220" s="4"/>
      <c r="K220" s="107"/>
    </row>
    <row r="221" spans="1:12" x14ac:dyDescent="0.3">
      <c r="B221" s="5"/>
      <c r="E221" s="4"/>
      <c r="F221" s="4"/>
      <c r="G221" s="4"/>
      <c r="H221" s="4"/>
      <c r="I221" s="4"/>
      <c r="J221" s="4"/>
      <c r="K221" s="107"/>
    </row>
    <row r="222" spans="1:12" x14ac:dyDescent="0.3">
      <c r="B222" s="5"/>
      <c r="E222" s="4"/>
      <c r="F222" s="4"/>
      <c r="G222" s="4"/>
      <c r="H222" s="4"/>
      <c r="I222" s="4"/>
      <c r="J222" s="4"/>
      <c r="K222" s="107"/>
    </row>
    <row r="223" spans="1:12" x14ac:dyDescent="0.3">
      <c r="B223" s="5"/>
      <c r="E223" s="4"/>
      <c r="F223" s="4"/>
      <c r="G223" s="4"/>
      <c r="H223" s="4"/>
      <c r="I223" s="4"/>
      <c r="J223" s="4"/>
      <c r="K223" s="107"/>
    </row>
    <row r="224" spans="1:12" ht="15" thickBot="1" x14ac:dyDescent="0.35">
      <c r="B224" s="5"/>
      <c r="E224" s="4"/>
      <c r="F224" s="4"/>
      <c r="G224" s="130">
        <v>43646</v>
      </c>
      <c r="H224" s="4"/>
      <c r="I224" s="4"/>
      <c r="J224" s="4"/>
      <c r="K224" s="107"/>
    </row>
    <row r="225" spans="1:11" ht="15" thickTop="1" x14ac:dyDescent="0.3">
      <c r="A225" s="283" t="s">
        <v>83</v>
      </c>
      <c r="B225" s="283"/>
      <c r="C225" s="283"/>
      <c r="D225" s="283"/>
      <c r="E225" s="283"/>
      <c r="F225" s="283"/>
      <c r="G225" s="283"/>
      <c r="H225" s="283"/>
      <c r="I225" s="283"/>
      <c r="J225" s="283"/>
      <c r="K225" s="283"/>
    </row>
    <row r="226" spans="1:11" s="75" customFormat="1" ht="33.75" customHeight="1" x14ac:dyDescent="0.3">
      <c r="A226" s="323" t="s">
        <v>0</v>
      </c>
      <c r="B226" s="324"/>
      <c r="C226" s="71" t="s">
        <v>3</v>
      </c>
      <c r="D226" s="71" t="s">
        <v>4</v>
      </c>
      <c r="E226" s="73" t="s">
        <v>96</v>
      </c>
      <c r="F226" s="72" t="s">
        <v>70</v>
      </c>
      <c r="G226" s="105" t="s">
        <v>71</v>
      </c>
      <c r="H226" s="106" t="s">
        <v>71</v>
      </c>
      <c r="I226" s="73" t="s">
        <v>71</v>
      </c>
      <c r="J226" s="73" t="s">
        <v>107</v>
      </c>
      <c r="K226" s="74" t="s">
        <v>108</v>
      </c>
    </row>
    <row r="227" spans="1:11" x14ac:dyDescent="0.3">
      <c r="A227" s="325"/>
      <c r="B227" s="326"/>
      <c r="C227" s="33" t="s">
        <v>16</v>
      </c>
      <c r="D227" s="34">
        <f t="shared" ref="D227:K228" si="80">D5+D14+D16+D18+D20+D22</f>
        <v>117230959</v>
      </c>
      <c r="E227" s="34">
        <f t="shared" si="80"/>
        <v>117297167</v>
      </c>
      <c r="F227" s="34">
        <f t="shared" si="80"/>
        <v>0</v>
      </c>
      <c r="G227" s="34">
        <f t="shared" si="80"/>
        <v>0</v>
      </c>
      <c r="H227" s="34">
        <f t="shared" si="80"/>
        <v>0</v>
      </c>
      <c r="I227" s="34">
        <f t="shared" si="80"/>
        <v>0</v>
      </c>
      <c r="J227" s="34">
        <f t="shared" si="80"/>
        <v>117297167</v>
      </c>
      <c r="K227" s="34">
        <f t="shared" si="80"/>
        <v>42914353</v>
      </c>
    </row>
    <row r="228" spans="1:11" x14ac:dyDescent="0.3">
      <c r="A228" s="325"/>
      <c r="B228" s="326"/>
      <c r="C228" s="33" t="s">
        <v>17</v>
      </c>
      <c r="D228" s="34">
        <f t="shared" si="80"/>
        <v>16012810</v>
      </c>
      <c r="E228" s="34">
        <f t="shared" si="80"/>
        <v>16012810</v>
      </c>
      <c r="F228" s="34">
        <f t="shared" si="80"/>
        <v>0</v>
      </c>
      <c r="G228" s="34">
        <f t="shared" si="80"/>
        <v>0</v>
      </c>
      <c r="H228" s="34">
        <f t="shared" si="80"/>
        <v>0</v>
      </c>
      <c r="I228" s="34">
        <f t="shared" si="80"/>
        <v>0</v>
      </c>
      <c r="J228" s="34">
        <f t="shared" si="80"/>
        <v>16012810</v>
      </c>
      <c r="K228" s="34">
        <f t="shared" si="80"/>
        <v>16012810</v>
      </c>
    </row>
    <row r="229" spans="1:11" x14ac:dyDescent="0.3">
      <c r="A229" s="325"/>
      <c r="B229" s="326"/>
      <c r="C229" s="33" t="s">
        <v>18</v>
      </c>
      <c r="D229" s="34">
        <f t="shared" ref="D229:K231" si="81">D7</f>
        <v>96985672</v>
      </c>
      <c r="E229" s="34">
        <f t="shared" si="81"/>
        <v>96985672</v>
      </c>
      <c r="F229" s="34">
        <f t="shared" si="81"/>
        <v>0</v>
      </c>
      <c r="G229" s="34">
        <f t="shared" si="81"/>
        <v>0</v>
      </c>
      <c r="H229" s="34">
        <f t="shared" si="81"/>
        <v>0</v>
      </c>
      <c r="I229" s="34">
        <f t="shared" si="81"/>
        <v>0</v>
      </c>
      <c r="J229" s="34">
        <f t="shared" si="81"/>
        <v>96985672</v>
      </c>
      <c r="K229" s="34">
        <f t="shared" si="81"/>
        <v>48995943</v>
      </c>
    </row>
    <row r="230" spans="1:11" x14ac:dyDescent="0.3">
      <c r="A230" s="325"/>
      <c r="B230" s="326"/>
      <c r="C230" s="35" t="s">
        <v>22</v>
      </c>
      <c r="D230" s="34">
        <f t="shared" si="81"/>
        <v>200000</v>
      </c>
      <c r="E230" s="34">
        <f t="shared" si="81"/>
        <v>200000</v>
      </c>
      <c r="F230" s="34">
        <f t="shared" si="81"/>
        <v>0</v>
      </c>
      <c r="G230" s="34">
        <f t="shared" si="81"/>
        <v>0</v>
      </c>
      <c r="H230" s="34">
        <f t="shared" si="81"/>
        <v>0</v>
      </c>
      <c r="I230" s="34">
        <f t="shared" si="81"/>
        <v>0</v>
      </c>
      <c r="J230" s="34">
        <f t="shared" si="81"/>
        <v>200000</v>
      </c>
      <c r="K230" s="34">
        <f t="shared" si="81"/>
        <v>0</v>
      </c>
    </row>
    <row r="231" spans="1:11" x14ac:dyDescent="0.3">
      <c r="A231" s="325"/>
      <c r="B231" s="326"/>
      <c r="C231" s="35" t="s">
        <v>19</v>
      </c>
      <c r="D231" s="34">
        <f t="shared" si="81"/>
        <v>13200</v>
      </c>
      <c r="E231" s="34">
        <f t="shared" si="81"/>
        <v>16540</v>
      </c>
      <c r="F231" s="34">
        <f t="shared" si="81"/>
        <v>0</v>
      </c>
      <c r="G231" s="34">
        <f t="shared" si="81"/>
        <v>0</v>
      </c>
      <c r="H231" s="34">
        <f t="shared" si="81"/>
        <v>0</v>
      </c>
      <c r="I231" s="34">
        <f t="shared" si="81"/>
        <v>0</v>
      </c>
      <c r="J231" s="34">
        <f t="shared" si="81"/>
        <v>16540</v>
      </c>
      <c r="K231" s="34">
        <f t="shared" si="81"/>
        <v>5379</v>
      </c>
    </row>
    <row r="232" spans="1:11" x14ac:dyDescent="0.3">
      <c r="A232" s="325"/>
      <c r="B232" s="326"/>
      <c r="C232" s="35" t="s">
        <v>84</v>
      </c>
      <c r="D232" s="34">
        <f>D13+D11</f>
        <v>0</v>
      </c>
      <c r="E232" s="34">
        <f>E13+E11</f>
        <v>9239</v>
      </c>
      <c r="F232" s="34">
        <f t="shared" ref="F232:K232" si="82">F13+F11</f>
        <v>0</v>
      </c>
      <c r="G232" s="34">
        <f t="shared" si="82"/>
        <v>0</v>
      </c>
      <c r="H232" s="34">
        <f t="shared" si="82"/>
        <v>0</v>
      </c>
      <c r="I232" s="34">
        <f t="shared" si="82"/>
        <v>0</v>
      </c>
      <c r="J232" s="34">
        <f>J13+J11</f>
        <v>9239</v>
      </c>
      <c r="K232" s="34">
        <f t="shared" si="82"/>
        <v>3235</v>
      </c>
    </row>
    <row r="233" spans="1:11" x14ac:dyDescent="0.3">
      <c r="A233" s="325"/>
      <c r="B233" s="326"/>
      <c r="C233" s="33" t="s">
        <v>20</v>
      </c>
      <c r="D233" s="34">
        <f>D10+D12</f>
        <v>1000</v>
      </c>
      <c r="E233" s="34">
        <f>E10+E12</f>
        <v>421</v>
      </c>
      <c r="F233" s="34">
        <f t="shared" ref="F233:K233" si="83">F10+F12</f>
        <v>0</v>
      </c>
      <c r="G233" s="34">
        <f t="shared" si="83"/>
        <v>0</v>
      </c>
      <c r="H233" s="34">
        <f t="shared" si="83"/>
        <v>0</v>
      </c>
      <c r="I233" s="34">
        <f t="shared" si="83"/>
        <v>0</v>
      </c>
      <c r="J233" s="34">
        <f t="shared" si="83"/>
        <v>421</v>
      </c>
      <c r="K233" s="34">
        <f t="shared" si="83"/>
        <v>201</v>
      </c>
    </row>
    <row r="234" spans="1:11" x14ac:dyDescent="0.3">
      <c r="A234" s="325"/>
      <c r="B234" s="326"/>
      <c r="C234" s="63" t="s">
        <v>86</v>
      </c>
      <c r="D234" s="64">
        <f>D13+D12+D11+D10+D9</f>
        <v>14200</v>
      </c>
      <c r="E234" s="64">
        <f>E13+E12+E11+E10+E9</f>
        <v>26200</v>
      </c>
      <c r="F234" s="64">
        <f t="shared" ref="F234:K234" si="84">F13+F12+F11+F10+F9</f>
        <v>0</v>
      </c>
      <c r="G234" s="64">
        <f t="shared" si="84"/>
        <v>0</v>
      </c>
      <c r="H234" s="64">
        <f t="shared" si="84"/>
        <v>0</v>
      </c>
      <c r="I234" s="64">
        <f t="shared" si="84"/>
        <v>0</v>
      </c>
      <c r="J234" s="64">
        <f t="shared" si="84"/>
        <v>26200</v>
      </c>
      <c r="K234" s="64">
        <f t="shared" si="84"/>
        <v>8815</v>
      </c>
    </row>
    <row r="235" spans="1:11" x14ac:dyDescent="0.3">
      <c r="A235" s="325"/>
      <c r="B235" s="326"/>
      <c r="C235" s="63" t="s">
        <v>87</v>
      </c>
      <c r="D235" s="64">
        <f>D23+D21+D19+D17+D15+D7+D6</f>
        <v>112998482</v>
      </c>
      <c r="E235" s="64">
        <f>E23+E21+E19+E17+E15+E7+E6</f>
        <v>112998482</v>
      </c>
      <c r="F235" s="64">
        <f t="shared" ref="F235:K235" si="85">F23+F21+F19+F17+F15+F7+F6</f>
        <v>0</v>
      </c>
      <c r="G235" s="64">
        <f t="shared" si="85"/>
        <v>0</v>
      </c>
      <c r="H235" s="64">
        <f t="shared" si="85"/>
        <v>0</v>
      </c>
      <c r="I235" s="64">
        <f t="shared" si="85"/>
        <v>0</v>
      </c>
      <c r="J235" s="64">
        <f t="shared" si="85"/>
        <v>112998482</v>
      </c>
      <c r="K235" s="64">
        <f t="shared" si="85"/>
        <v>65008753</v>
      </c>
    </row>
    <row r="236" spans="1:11" x14ac:dyDescent="0.3">
      <c r="A236" s="325"/>
      <c r="B236" s="326"/>
      <c r="C236" s="63" t="s">
        <v>94</v>
      </c>
      <c r="D236" s="64">
        <f>D5+D6+D7+D8+D9+D10+D11+D12+D13+D14+D15+D16+D17+D18+D19+D20+D21+D22+D23</f>
        <v>230443641</v>
      </c>
      <c r="E236" s="64">
        <f t="shared" ref="E236:K236" si="86">E5+E6+E7+E8+E9+E10+E11+E12+E13+E14+E15+E16+E17+E18+E19+E20+E21+E22+E23</f>
        <v>230521849</v>
      </c>
      <c r="F236" s="64">
        <f t="shared" si="86"/>
        <v>0</v>
      </c>
      <c r="G236" s="64">
        <f t="shared" si="86"/>
        <v>0</v>
      </c>
      <c r="H236" s="64">
        <f t="shared" si="86"/>
        <v>0</v>
      </c>
      <c r="I236" s="64">
        <f t="shared" si="86"/>
        <v>0</v>
      </c>
      <c r="J236" s="64">
        <f t="shared" si="86"/>
        <v>230521849</v>
      </c>
      <c r="K236" s="64">
        <f t="shared" si="86"/>
        <v>107931921</v>
      </c>
    </row>
    <row r="237" spans="1:11" x14ac:dyDescent="0.3">
      <c r="A237" s="325"/>
      <c r="B237" s="326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127937678</v>
      </c>
      <c r="F237" s="34">
        <f>F89+F111+F114+F133+F136+F154+F157+F177+F199+F215+F180+F86+F84+F52+F25</f>
        <v>-61177</v>
      </c>
      <c r="G237" s="34">
        <f t="shared" ref="G237:I237" si="87">G89+G111+G114+G133+G136+G154+G157+G177+G199+G215+G180+G86+G84+G52+G25</f>
        <v>0</v>
      </c>
      <c r="H237" s="34">
        <f t="shared" si="87"/>
        <v>0</v>
      </c>
      <c r="I237" s="34">
        <f t="shared" si="87"/>
        <v>0</v>
      </c>
      <c r="J237" s="34">
        <f>J89+J111+J114+J133+J136+J154+J157+J177+J199+J215+J180+J86+J84+J52+J25</f>
        <v>127876501</v>
      </c>
      <c r="K237" s="34">
        <f>K215+K199+K180+K177+K157+K154+K136+K133+K114+K111+K89+K86+K84+K52+K25</f>
        <v>58195923</v>
      </c>
    </row>
    <row r="238" spans="1:11" x14ac:dyDescent="0.3">
      <c r="A238" s="325"/>
      <c r="B238" s="326"/>
      <c r="C238" s="33" t="s">
        <v>47</v>
      </c>
      <c r="D238" s="34">
        <f t="shared" ref="D238:K239" si="88">D53</f>
        <v>2040480</v>
      </c>
      <c r="E238" s="34">
        <f t="shared" si="88"/>
        <v>2040480</v>
      </c>
      <c r="F238" s="34">
        <f t="shared" si="88"/>
        <v>0</v>
      </c>
      <c r="G238" s="34">
        <f t="shared" si="88"/>
        <v>0</v>
      </c>
      <c r="H238" s="34">
        <f t="shared" si="88"/>
        <v>0</v>
      </c>
      <c r="I238" s="34">
        <f t="shared" si="88"/>
        <v>0</v>
      </c>
      <c r="J238" s="34">
        <f t="shared" si="88"/>
        <v>2040480</v>
      </c>
      <c r="K238" s="41">
        <f t="shared" si="88"/>
        <v>946537</v>
      </c>
    </row>
    <row r="239" spans="1:11" x14ac:dyDescent="0.3">
      <c r="A239" s="325"/>
      <c r="B239" s="326"/>
      <c r="C239" s="33" t="s">
        <v>48</v>
      </c>
      <c r="D239" s="34">
        <f t="shared" si="88"/>
        <v>0</v>
      </c>
      <c r="E239" s="34">
        <f t="shared" si="88"/>
        <v>0</v>
      </c>
      <c r="F239" s="34">
        <f t="shared" si="88"/>
        <v>0</v>
      </c>
      <c r="G239" s="34">
        <f t="shared" si="88"/>
        <v>0</v>
      </c>
      <c r="H239" s="34">
        <f t="shared" si="88"/>
        <v>0</v>
      </c>
      <c r="I239" s="34">
        <f t="shared" si="88"/>
        <v>0</v>
      </c>
      <c r="J239" s="34">
        <f t="shared" si="88"/>
        <v>0</v>
      </c>
      <c r="K239" s="34">
        <f t="shared" si="88"/>
        <v>0</v>
      </c>
    </row>
    <row r="240" spans="1:11" x14ac:dyDescent="0.3">
      <c r="A240" s="325"/>
      <c r="B240" s="326"/>
      <c r="C240" s="35" t="s">
        <v>25</v>
      </c>
      <c r="D240" s="34">
        <f t="shared" ref="D240:K241" si="89">D200+D158+D137+D115+D90+D55+D26</f>
        <v>3992000</v>
      </c>
      <c r="E240" s="34">
        <f t="shared" si="89"/>
        <v>3992000</v>
      </c>
      <c r="F240" s="34">
        <f t="shared" si="89"/>
        <v>0</v>
      </c>
      <c r="G240" s="34">
        <f t="shared" si="89"/>
        <v>0</v>
      </c>
      <c r="H240" s="34">
        <f t="shared" si="89"/>
        <v>0</v>
      </c>
      <c r="I240" s="34">
        <f t="shared" si="89"/>
        <v>0</v>
      </c>
      <c r="J240" s="34">
        <f t="shared" si="89"/>
        <v>3992000</v>
      </c>
      <c r="K240" s="34">
        <f t="shared" si="89"/>
        <v>1887500</v>
      </c>
    </row>
    <row r="241" spans="1:11" x14ac:dyDescent="0.3">
      <c r="A241" s="325"/>
      <c r="B241" s="326"/>
      <c r="C241" s="35" t="s">
        <v>26</v>
      </c>
      <c r="D241" s="34">
        <f t="shared" si="89"/>
        <v>200000</v>
      </c>
      <c r="E241" s="34">
        <f t="shared" si="89"/>
        <v>200000</v>
      </c>
      <c r="F241" s="34">
        <f t="shared" si="89"/>
        <v>0</v>
      </c>
      <c r="G241" s="34">
        <f t="shared" si="89"/>
        <v>0</v>
      </c>
      <c r="H241" s="34">
        <f t="shared" si="89"/>
        <v>0</v>
      </c>
      <c r="I241" s="34">
        <f t="shared" si="89"/>
        <v>0</v>
      </c>
      <c r="J241" s="34">
        <f t="shared" si="89"/>
        <v>200000</v>
      </c>
      <c r="K241" s="34">
        <f t="shared" si="89"/>
        <v>0</v>
      </c>
    </row>
    <row r="242" spans="1:11" x14ac:dyDescent="0.3">
      <c r="A242" s="325"/>
      <c r="B242" s="326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90">F202+F139+F92+F57+F28</f>
        <v>0</v>
      </c>
      <c r="G242" s="34">
        <f t="shared" si="90"/>
        <v>0</v>
      </c>
      <c r="H242" s="34">
        <f t="shared" si="90"/>
        <v>0</v>
      </c>
      <c r="I242" s="34">
        <f t="shared" si="90"/>
        <v>0</v>
      </c>
      <c r="J242" s="34">
        <f t="shared" si="90"/>
        <v>1661400</v>
      </c>
      <c r="K242" s="34">
        <f>K202+K139+K92+K57+K28</f>
        <v>556852</v>
      </c>
    </row>
    <row r="243" spans="1:11" x14ac:dyDescent="0.3">
      <c r="A243" s="325"/>
      <c r="B243" s="326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1">F203+F160+F140+F117+F58+F29+F93</f>
        <v>0</v>
      </c>
      <c r="G243" s="34">
        <f t="shared" si="91"/>
        <v>0</v>
      </c>
      <c r="H243" s="34">
        <f t="shared" si="91"/>
        <v>0</v>
      </c>
      <c r="I243" s="34">
        <f t="shared" si="91"/>
        <v>0</v>
      </c>
      <c r="J243" s="34">
        <f t="shared" si="91"/>
        <v>481000</v>
      </c>
      <c r="K243" s="34">
        <f>K203+K160+K140+K117+K58+K29+K93</f>
        <v>222000</v>
      </c>
    </row>
    <row r="244" spans="1:11" x14ac:dyDescent="0.3">
      <c r="A244" s="325"/>
      <c r="B244" s="326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3925270</v>
      </c>
      <c r="F244" s="34">
        <f>F204+F175+F161+F141+F118+F109+F94+F82+F80+F59+F30+F131</f>
        <v>61177</v>
      </c>
      <c r="G244" s="34">
        <f t="shared" ref="G244:J244" si="92">G204+G175+G161+G141+G118+G109+G94+G82+G80+G59+G30+G131</f>
        <v>0</v>
      </c>
      <c r="H244" s="34">
        <f t="shared" si="92"/>
        <v>0</v>
      </c>
      <c r="I244" s="34">
        <f t="shared" si="92"/>
        <v>0</v>
      </c>
      <c r="J244" s="34">
        <f t="shared" si="92"/>
        <v>3986447</v>
      </c>
      <c r="K244" s="34">
        <f>K204+K175+K161+K141+K118+K109+K94+K82+K80+K59+K30+K131</f>
        <v>1595907</v>
      </c>
    </row>
    <row r="245" spans="1:11" x14ac:dyDescent="0.3">
      <c r="A245" s="325"/>
      <c r="B245" s="326"/>
      <c r="C245" s="35" t="s">
        <v>30</v>
      </c>
      <c r="D245" s="34">
        <f>D162+D142+D119+D60+D31+D181</f>
        <v>200000</v>
      </c>
      <c r="E245" s="34">
        <f t="shared" ref="E245:K245" si="93">E162+E142+E119+E60+E31+E181</f>
        <v>10700000</v>
      </c>
      <c r="F245" s="34">
        <f t="shared" si="93"/>
        <v>0</v>
      </c>
      <c r="G245" s="34">
        <f t="shared" si="93"/>
        <v>0</v>
      </c>
      <c r="H245" s="34">
        <f t="shared" si="93"/>
        <v>0</v>
      </c>
      <c r="I245" s="34">
        <f t="shared" si="93"/>
        <v>0</v>
      </c>
      <c r="J245" s="34">
        <f t="shared" si="93"/>
        <v>10700000</v>
      </c>
      <c r="K245" s="34">
        <f t="shared" si="93"/>
        <v>3000</v>
      </c>
    </row>
    <row r="246" spans="1:11" x14ac:dyDescent="0.3">
      <c r="A246" s="325"/>
      <c r="B246" s="326"/>
      <c r="C246" s="63" t="s">
        <v>53</v>
      </c>
      <c r="D246" s="64">
        <f>D205+D182+D163+D143+D215+D177+D154+D133+D131+D175+D120+D111+D109+D96+D86+D84+D82+D80+D61+D32</f>
        <v>140382424</v>
      </c>
      <c r="E246" s="64">
        <f t="shared" ref="E246:K246" si="94">E205+E182+E163+E143+E215+E177+E154+E133+E131+E175+E120+E111+E109+E96+E86+E84+E82+E80+E61+E32</f>
        <v>150937828</v>
      </c>
      <c r="F246" s="64">
        <f t="shared" si="94"/>
        <v>0</v>
      </c>
      <c r="G246" s="64">
        <f t="shared" si="94"/>
        <v>0</v>
      </c>
      <c r="H246" s="64">
        <f t="shared" si="94"/>
        <v>0</v>
      </c>
      <c r="I246" s="64">
        <f t="shared" si="94"/>
        <v>0</v>
      </c>
      <c r="J246" s="64">
        <f t="shared" si="94"/>
        <v>150937828</v>
      </c>
      <c r="K246" s="64">
        <f t="shared" si="94"/>
        <v>63407719</v>
      </c>
    </row>
    <row r="247" spans="1:11" x14ac:dyDescent="0.3">
      <c r="A247" s="325"/>
      <c r="B247" s="326"/>
      <c r="C247" s="65" t="s">
        <v>31</v>
      </c>
      <c r="D247" s="64">
        <f>D206+D183+D178+D176+D216+D164+D155+D144+D134+D132+D121+D112+D110+D97+D87+D85+D83+D81+D62+D33</f>
        <v>27536677</v>
      </c>
      <c r="E247" s="64">
        <f>E206+E183+E178+E176+E216+E164+E155+E144+E134+E132+E121+E112+E110+E97+E87+E85+E83+E81+E62+E33</f>
        <v>27547481</v>
      </c>
      <c r="F247" s="64">
        <f t="shared" ref="F247:K247" si="95">F206+F183+F178+F176+F216+F164+F155+F144+F134+F132+F121+F112+F110+F97+F87+F85+F83+F81+F62+F33</f>
        <v>0</v>
      </c>
      <c r="G247" s="64">
        <f t="shared" si="95"/>
        <v>0</v>
      </c>
      <c r="H247" s="64">
        <f t="shared" si="95"/>
        <v>0</v>
      </c>
      <c r="I247" s="64">
        <f t="shared" si="95"/>
        <v>0</v>
      </c>
      <c r="J247" s="64">
        <f t="shared" si="95"/>
        <v>27547481</v>
      </c>
      <c r="K247" s="64">
        <f t="shared" si="95"/>
        <v>13984425</v>
      </c>
    </row>
    <row r="248" spans="1:11" x14ac:dyDescent="0.3">
      <c r="A248" s="325"/>
      <c r="B248" s="326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6">F165+F145+F122+F98+F63+F34</f>
        <v>0</v>
      </c>
      <c r="G248" s="34">
        <f t="shared" si="96"/>
        <v>0</v>
      </c>
      <c r="H248" s="34">
        <f t="shared" si="96"/>
        <v>0</v>
      </c>
      <c r="I248" s="34">
        <f t="shared" si="96"/>
        <v>0</v>
      </c>
      <c r="J248" s="34">
        <f t="shared" si="96"/>
        <v>540000</v>
      </c>
      <c r="K248" s="34">
        <f t="shared" si="96"/>
        <v>49638</v>
      </c>
    </row>
    <row r="249" spans="1:11" x14ac:dyDescent="0.3">
      <c r="A249" s="325"/>
      <c r="B249" s="326"/>
      <c r="C249" s="35" t="s">
        <v>33</v>
      </c>
      <c r="D249" s="34">
        <f>D184+D166+D146+D123+D99+D64+D35+D207</f>
        <v>1700000</v>
      </c>
      <c r="E249" s="34">
        <f t="shared" ref="E249:K249" si="97">E184+E166+E146+E123+E99+E64+E35+E207</f>
        <v>1886928</v>
      </c>
      <c r="F249" s="34">
        <f t="shared" si="97"/>
        <v>0</v>
      </c>
      <c r="G249" s="34">
        <f t="shared" si="97"/>
        <v>0</v>
      </c>
      <c r="H249" s="34">
        <f t="shared" si="97"/>
        <v>0</v>
      </c>
      <c r="I249" s="34">
        <f t="shared" si="97"/>
        <v>0</v>
      </c>
      <c r="J249" s="34">
        <f t="shared" si="97"/>
        <v>1886928</v>
      </c>
      <c r="K249" s="34">
        <f t="shared" si="97"/>
        <v>46583</v>
      </c>
    </row>
    <row r="250" spans="1:11" x14ac:dyDescent="0.3">
      <c r="A250" s="325"/>
      <c r="B250" s="326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8">F167+F147+F124+F100+F65+F36</f>
        <v>0</v>
      </c>
      <c r="G250" s="34">
        <f t="shared" si="98"/>
        <v>0</v>
      </c>
      <c r="H250" s="34">
        <f t="shared" si="98"/>
        <v>0</v>
      </c>
      <c r="I250" s="34">
        <f t="shared" si="98"/>
        <v>0</v>
      </c>
      <c r="J250" s="34">
        <f t="shared" si="98"/>
        <v>988000</v>
      </c>
      <c r="K250" s="34">
        <f t="shared" si="98"/>
        <v>122377</v>
      </c>
    </row>
    <row r="251" spans="1:11" x14ac:dyDescent="0.3">
      <c r="A251" s="325"/>
      <c r="B251" s="326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9">F208+F168+F101+F66+F37</f>
        <v>0</v>
      </c>
      <c r="G251" s="34">
        <f t="shared" si="99"/>
        <v>0</v>
      </c>
      <c r="H251" s="34">
        <f t="shared" si="99"/>
        <v>0</v>
      </c>
      <c r="I251" s="34">
        <f t="shared" si="99"/>
        <v>0</v>
      </c>
      <c r="J251" s="34">
        <f t="shared" si="99"/>
        <v>617000</v>
      </c>
      <c r="K251" s="34">
        <f t="shared" si="99"/>
        <v>111690</v>
      </c>
    </row>
    <row r="252" spans="1:11" x14ac:dyDescent="0.3">
      <c r="A252" s="325"/>
      <c r="B252" s="326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100">F102+F67+F38</f>
        <v>0</v>
      </c>
      <c r="G252" s="34">
        <f t="shared" si="100"/>
        <v>0</v>
      </c>
      <c r="H252" s="34">
        <f t="shared" si="100"/>
        <v>0</v>
      </c>
      <c r="I252" s="34">
        <f t="shared" si="100"/>
        <v>0</v>
      </c>
      <c r="J252" s="34">
        <f t="shared" si="100"/>
        <v>1739080</v>
      </c>
      <c r="K252" s="34">
        <f t="shared" si="100"/>
        <v>1025837</v>
      </c>
    </row>
    <row r="253" spans="1:11" x14ac:dyDescent="0.3">
      <c r="A253" s="325"/>
      <c r="B253" s="326"/>
      <c r="C253" s="38" t="s">
        <v>37</v>
      </c>
      <c r="D253" s="34">
        <f>D185+D68+D39</f>
        <v>356000</v>
      </c>
      <c r="E253" s="34">
        <f>E185+E68+E39</f>
        <v>356000</v>
      </c>
      <c r="F253" s="34">
        <f t="shared" ref="F253:J253" si="101">F185+F68+F39</f>
        <v>0</v>
      </c>
      <c r="G253" s="34">
        <f t="shared" si="101"/>
        <v>0</v>
      </c>
      <c r="H253" s="34">
        <f t="shared" si="101"/>
        <v>0</v>
      </c>
      <c r="I253" s="34">
        <f t="shared" si="101"/>
        <v>0</v>
      </c>
      <c r="J253" s="34">
        <f t="shared" si="101"/>
        <v>356000</v>
      </c>
      <c r="K253" s="34">
        <f>K185+K68+K39</f>
        <v>0</v>
      </c>
    </row>
    <row r="254" spans="1:11" x14ac:dyDescent="0.3">
      <c r="A254" s="325"/>
      <c r="B254" s="326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2">F169+F148+F125+F103+F69+F40+F209</f>
        <v>0</v>
      </c>
      <c r="G254" s="34">
        <f t="shared" si="102"/>
        <v>0</v>
      </c>
      <c r="H254" s="34">
        <f t="shared" si="102"/>
        <v>0</v>
      </c>
      <c r="I254" s="34">
        <f t="shared" si="102"/>
        <v>0</v>
      </c>
      <c r="J254" s="34">
        <f t="shared" si="102"/>
        <v>1394000</v>
      </c>
      <c r="K254" s="34">
        <f t="shared" si="102"/>
        <v>257054</v>
      </c>
    </row>
    <row r="255" spans="1:11" x14ac:dyDescent="0.3">
      <c r="A255" s="325"/>
      <c r="B255" s="326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3">F41</f>
        <v>0</v>
      </c>
      <c r="G255" s="34">
        <f t="shared" si="103"/>
        <v>0</v>
      </c>
      <c r="H255" s="34">
        <f t="shared" si="103"/>
        <v>0</v>
      </c>
      <c r="I255" s="34">
        <f t="shared" si="103"/>
        <v>0</v>
      </c>
      <c r="J255" s="34">
        <f t="shared" si="103"/>
        <v>16540</v>
      </c>
      <c r="K255" s="34">
        <f t="shared" si="103"/>
        <v>6420</v>
      </c>
    </row>
    <row r="256" spans="1:11" x14ac:dyDescent="0.3">
      <c r="A256" s="325"/>
      <c r="B256" s="326"/>
      <c r="C256" s="36" t="s">
        <v>40</v>
      </c>
      <c r="D256" s="34">
        <f t="shared" ref="D256:K256" si="104">D186+D170+D149+D126+D104+D70+D42</f>
        <v>16415104</v>
      </c>
      <c r="E256" s="34">
        <f t="shared" si="104"/>
        <v>16415104</v>
      </c>
      <c r="F256" s="34">
        <f t="shared" si="104"/>
        <v>0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34">
        <f t="shared" si="104"/>
        <v>16415104</v>
      </c>
      <c r="K256" s="34">
        <f t="shared" si="104"/>
        <v>311518</v>
      </c>
    </row>
    <row r="257" spans="1:11" x14ac:dyDescent="0.3">
      <c r="A257" s="325"/>
      <c r="B257" s="326"/>
      <c r="C257" s="33" t="s">
        <v>41</v>
      </c>
      <c r="D257" s="34">
        <f>D187+D171+D150+D127+D105+D71+D43+D210</f>
        <v>26876743</v>
      </c>
      <c r="E257" s="34">
        <f t="shared" ref="E257:K257" si="105">E187+E171+E150+E127+E105+E71+E43+E210</f>
        <v>8158686</v>
      </c>
      <c r="F257" s="34">
        <f t="shared" si="105"/>
        <v>12560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34">
        <f t="shared" si="105"/>
        <v>8171246</v>
      </c>
      <c r="K257" s="34">
        <f t="shared" si="105"/>
        <v>6080186</v>
      </c>
    </row>
    <row r="258" spans="1:11" x14ac:dyDescent="0.3">
      <c r="A258" s="325"/>
      <c r="B258" s="326"/>
      <c r="C258" s="35" t="s">
        <v>42</v>
      </c>
      <c r="D258" s="34">
        <f>D211+D188+D172+D151+D128+D106+D72+D44</f>
        <v>2852000</v>
      </c>
      <c r="E258" s="34">
        <f>E211+E188+E172+E151+E128+E106+E72+E44</f>
        <v>2852000</v>
      </c>
      <c r="F258" s="34">
        <f t="shared" ref="F258:K258" si="106">F211+F188+F172+F151+F128+F106+F72+F44</f>
        <v>-12560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2839440</v>
      </c>
      <c r="K258" s="34">
        <f t="shared" si="106"/>
        <v>864735</v>
      </c>
    </row>
    <row r="259" spans="1:11" x14ac:dyDescent="0.3">
      <c r="A259" s="325"/>
      <c r="B259" s="326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7">F45+F73+F189</f>
        <v>0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290000</v>
      </c>
      <c r="K259" s="34">
        <f t="shared" si="107"/>
        <v>0</v>
      </c>
    </row>
    <row r="260" spans="1:11" x14ac:dyDescent="0.3">
      <c r="A260" s="325"/>
      <c r="B260" s="326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8">F212+F190+F173+F152+F129+F107+F74+F46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5335441</v>
      </c>
      <c r="K260" s="34">
        <f t="shared" si="108"/>
        <v>1760005</v>
      </c>
    </row>
    <row r="261" spans="1:11" x14ac:dyDescent="0.3">
      <c r="A261" s="325"/>
      <c r="B261" s="326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9">F213+F191+F75+F47</f>
        <v>0</v>
      </c>
      <c r="G261" s="34">
        <f t="shared" si="109"/>
        <v>0</v>
      </c>
      <c r="H261" s="34">
        <f t="shared" si="109"/>
        <v>0</v>
      </c>
      <c r="I261" s="34">
        <f t="shared" si="109"/>
        <v>0</v>
      </c>
      <c r="J261" s="34">
        <f t="shared" si="109"/>
        <v>743011</v>
      </c>
      <c r="K261" s="34">
        <f t="shared" si="109"/>
        <v>217121</v>
      </c>
    </row>
    <row r="262" spans="1:11" x14ac:dyDescent="0.3">
      <c r="A262" s="325"/>
      <c r="B262" s="326"/>
      <c r="C262" s="63" t="s">
        <v>49</v>
      </c>
      <c r="D262" s="64">
        <f>D214+D192+D174+D153+D130+D108+D76+D48</f>
        <v>62319790</v>
      </c>
      <c r="E262" s="64">
        <f>E214+E192+E174+E153+E130+E108+E76+E48</f>
        <v>41331790</v>
      </c>
      <c r="F262" s="64">
        <f t="shared" ref="F262:K262" si="110">F214+F192+F174+F153+F130+F108+F76+F48</f>
        <v>0</v>
      </c>
      <c r="G262" s="64">
        <f t="shared" si="110"/>
        <v>0</v>
      </c>
      <c r="H262" s="64">
        <f t="shared" si="110"/>
        <v>0</v>
      </c>
      <c r="I262" s="64">
        <f t="shared" si="110"/>
        <v>0</v>
      </c>
      <c r="J262" s="64">
        <f t="shared" si="110"/>
        <v>41331790</v>
      </c>
      <c r="K262" s="64">
        <f t="shared" si="110"/>
        <v>10853164</v>
      </c>
    </row>
    <row r="263" spans="1:11" x14ac:dyDescent="0.3">
      <c r="A263" s="325"/>
      <c r="B263" s="326"/>
      <c r="C263" s="63" t="s">
        <v>100</v>
      </c>
      <c r="D263" s="64">
        <f>D197</f>
        <v>0</v>
      </c>
      <c r="E263" s="64">
        <f t="shared" ref="E263:K263" si="111">E197</f>
        <v>10500000</v>
      </c>
      <c r="F263" s="64">
        <f t="shared" si="111"/>
        <v>0</v>
      </c>
      <c r="G263" s="64">
        <f t="shared" si="111"/>
        <v>0</v>
      </c>
      <c r="H263" s="64">
        <f t="shared" si="111"/>
        <v>0</v>
      </c>
      <c r="I263" s="64">
        <f t="shared" si="111"/>
        <v>0</v>
      </c>
      <c r="J263" s="64">
        <f t="shared" si="111"/>
        <v>10500000</v>
      </c>
      <c r="K263" s="64">
        <f t="shared" si="111"/>
        <v>10500000</v>
      </c>
    </row>
    <row r="264" spans="1:11" x14ac:dyDescent="0.3">
      <c r="A264" s="325"/>
      <c r="B264" s="326"/>
      <c r="C264" s="38" t="s">
        <v>50</v>
      </c>
      <c r="D264" s="34">
        <f t="shared" ref="D264:K266" si="112">D194+D77+D49</f>
        <v>161220</v>
      </c>
      <c r="E264" s="34">
        <f t="shared" si="112"/>
        <v>161220</v>
      </c>
      <c r="F264" s="34">
        <f t="shared" si="112"/>
        <v>0</v>
      </c>
      <c r="G264" s="34">
        <f t="shared" si="112"/>
        <v>0</v>
      </c>
      <c r="H264" s="34">
        <f t="shared" si="112"/>
        <v>0</v>
      </c>
      <c r="I264" s="34">
        <f t="shared" si="112"/>
        <v>0</v>
      </c>
      <c r="J264" s="34">
        <f t="shared" si="112"/>
        <v>161220</v>
      </c>
      <c r="K264" s="34">
        <f t="shared" si="112"/>
        <v>0</v>
      </c>
    </row>
    <row r="265" spans="1:11" x14ac:dyDescent="0.3">
      <c r="A265" s="325"/>
      <c r="B265" s="326"/>
      <c r="C265" s="37" t="s">
        <v>51</v>
      </c>
      <c r="D265" s="34">
        <f t="shared" si="112"/>
        <v>43530</v>
      </c>
      <c r="E265" s="34">
        <f t="shared" si="112"/>
        <v>43530</v>
      </c>
      <c r="F265" s="34">
        <f t="shared" si="112"/>
        <v>0</v>
      </c>
      <c r="G265" s="34">
        <f t="shared" si="112"/>
        <v>0</v>
      </c>
      <c r="H265" s="34">
        <f t="shared" si="112"/>
        <v>0</v>
      </c>
      <c r="I265" s="34">
        <f t="shared" si="112"/>
        <v>0</v>
      </c>
      <c r="J265" s="34">
        <f t="shared" si="112"/>
        <v>43530</v>
      </c>
      <c r="K265" s="34">
        <f t="shared" si="112"/>
        <v>0</v>
      </c>
    </row>
    <row r="266" spans="1:11" x14ac:dyDescent="0.3">
      <c r="A266" s="325"/>
      <c r="B266" s="326"/>
      <c r="C266" s="63" t="s">
        <v>52</v>
      </c>
      <c r="D266" s="66">
        <f t="shared" si="112"/>
        <v>204750</v>
      </c>
      <c r="E266" s="66">
        <f t="shared" si="112"/>
        <v>204750</v>
      </c>
      <c r="F266" s="66">
        <f t="shared" si="112"/>
        <v>0</v>
      </c>
      <c r="G266" s="66">
        <f t="shared" si="112"/>
        <v>0</v>
      </c>
      <c r="H266" s="66">
        <f t="shared" si="112"/>
        <v>0</v>
      </c>
      <c r="I266" s="66">
        <f t="shared" si="112"/>
        <v>0</v>
      </c>
      <c r="J266" s="66">
        <f t="shared" si="112"/>
        <v>204750</v>
      </c>
      <c r="K266" s="64">
        <f t="shared" si="112"/>
        <v>0</v>
      </c>
    </row>
    <row r="267" spans="1:11" x14ac:dyDescent="0.3">
      <c r="A267" s="327"/>
      <c r="B267" s="328"/>
      <c r="C267" s="67" t="s">
        <v>88</v>
      </c>
      <c r="D267" s="68">
        <f t="shared" ref="D267:E267" si="113">D266+D262+D247+D246+D263</f>
        <v>230443641</v>
      </c>
      <c r="E267" s="68">
        <f t="shared" si="113"/>
        <v>230521849</v>
      </c>
      <c r="F267" s="68">
        <f>F266+F262+F247+F246+F263</f>
        <v>0</v>
      </c>
      <c r="G267" s="68">
        <f t="shared" ref="G267:K267" si="114">G266+G262+G247+G246+G263</f>
        <v>0</v>
      </c>
      <c r="H267" s="68">
        <f t="shared" si="114"/>
        <v>0</v>
      </c>
      <c r="I267" s="68">
        <f t="shared" si="114"/>
        <v>0</v>
      </c>
      <c r="J267" s="68">
        <f t="shared" si="114"/>
        <v>230521849</v>
      </c>
      <c r="K267" s="117">
        <f t="shared" si="114"/>
        <v>98745308</v>
      </c>
    </row>
    <row r="268" spans="1:11" x14ac:dyDescent="0.3">
      <c r="B268" s="5"/>
      <c r="E268" s="4"/>
      <c r="F268" s="4"/>
      <c r="G268" s="4"/>
      <c r="H268" s="4"/>
      <c r="I268" s="4"/>
      <c r="J268" s="4"/>
      <c r="K268" s="107"/>
    </row>
    <row r="269" spans="1:11" x14ac:dyDescent="0.3">
      <c r="B269" s="5"/>
      <c r="E269" s="4"/>
      <c r="F269" s="4"/>
      <c r="G269" s="4"/>
      <c r="H269" s="4"/>
      <c r="I269" s="4"/>
      <c r="J269" s="4"/>
      <c r="K269" s="107"/>
    </row>
  </sheetData>
  <autoFilter ref="A4:L218" xr:uid="{00000000-0009-0000-0000-000004000000}"/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69"/>
  <sheetViews>
    <sheetView workbookViewId="0">
      <pane xSplit="3" ySplit="4" topLeftCell="D170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42.6640625" customWidth="1"/>
    <col min="3" max="3" width="7.6640625" customWidth="1"/>
    <col min="4" max="5" width="13.6640625" customWidth="1"/>
    <col min="6" max="6" width="10.33203125" customWidth="1"/>
    <col min="7" max="9" width="10.33203125" bestFit="1" customWidth="1"/>
    <col min="10" max="10" width="13.88671875" bestFit="1" customWidth="1"/>
    <col min="11" max="11" width="16.44140625" style="118" customWidth="1"/>
    <col min="12" max="12" width="13.88671875" customWidth="1"/>
  </cols>
  <sheetData>
    <row r="1" spans="1:12" ht="21" x14ac:dyDescent="0.3">
      <c r="A1" s="364" t="s">
        <v>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</row>
    <row r="2" spans="1:12" x14ac:dyDescent="0.3">
      <c r="B2" s="5"/>
      <c r="E2" s="4"/>
      <c r="F2" s="4"/>
      <c r="G2" s="4"/>
      <c r="H2" s="4"/>
      <c r="I2" s="4"/>
      <c r="J2" s="4"/>
      <c r="K2" s="107"/>
    </row>
    <row r="3" spans="1:12" ht="15" customHeight="1" x14ac:dyDescent="0.3">
      <c r="A3" s="353" t="s">
        <v>104</v>
      </c>
      <c r="B3" s="355" t="s">
        <v>105</v>
      </c>
      <c r="C3" s="353" t="s">
        <v>3</v>
      </c>
      <c r="D3" s="353" t="s">
        <v>4</v>
      </c>
      <c r="E3" s="357" t="s">
        <v>107</v>
      </c>
      <c r="F3" s="359" t="s">
        <v>110</v>
      </c>
      <c r="G3" s="360"/>
      <c r="H3" s="360"/>
      <c r="I3" s="361"/>
      <c r="J3" s="357" t="s">
        <v>111</v>
      </c>
      <c r="K3" s="362" t="s">
        <v>112</v>
      </c>
      <c r="L3" s="363" t="s">
        <v>113</v>
      </c>
    </row>
    <row r="4" spans="1:12" ht="26.4" x14ac:dyDescent="0.3">
      <c r="A4" s="354"/>
      <c r="B4" s="356"/>
      <c r="C4" s="354"/>
      <c r="D4" s="354"/>
      <c r="E4" s="358"/>
      <c r="F4" s="120" t="s">
        <v>70</v>
      </c>
      <c r="G4" s="121" t="s">
        <v>71</v>
      </c>
      <c r="H4" s="121" t="s">
        <v>71</v>
      </c>
      <c r="I4" s="121" t="s">
        <v>71</v>
      </c>
      <c r="J4" s="358"/>
      <c r="K4" s="362"/>
      <c r="L4" s="363"/>
    </row>
    <row r="5" spans="1:12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08">
        <v>32010981</v>
      </c>
      <c r="L5" s="3">
        <f>J5-K5</f>
        <v>22837838</v>
      </c>
    </row>
    <row r="6" spans="1:12" x14ac:dyDescent="0.3">
      <c r="A6" s="285"/>
      <c r="B6" s="261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08">
        <v>7273070</v>
      </c>
      <c r="L6" s="3">
        <f t="shared" ref="L6:L23" si="1">J6-K6</f>
        <v>0</v>
      </c>
    </row>
    <row r="7" spans="1:12" x14ac:dyDescent="0.3">
      <c r="A7" s="285"/>
      <c r="B7" s="261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08">
        <v>57234396</v>
      </c>
      <c r="L7" s="3">
        <f t="shared" si="1"/>
        <v>39751276</v>
      </c>
    </row>
    <row r="8" spans="1:12" x14ac:dyDescent="0.3">
      <c r="A8" s="285"/>
      <c r="B8" s="264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08">
        <v>0</v>
      </c>
      <c r="L8" s="3">
        <f t="shared" si="1"/>
        <v>200000</v>
      </c>
    </row>
    <row r="9" spans="1:12" x14ac:dyDescent="0.3">
      <c r="A9" s="285"/>
      <c r="B9" s="268"/>
      <c r="C9" s="2" t="s">
        <v>19</v>
      </c>
      <c r="D9" s="3">
        <v>13200</v>
      </c>
      <c r="E9" s="3">
        <v>16540</v>
      </c>
      <c r="F9" s="3"/>
      <c r="G9" s="3"/>
      <c r="H9" s="3"/>
      <c r="I9" s="3"/>
      <c r="J9" s="20">
        <f t="shared" si="0"/>
        <v>16540</v>
      </c>
      <c r="K9" s="108">
        <v>16059</v>
      </c>
      <c r="L9" s="3">
        <f t="shared" si="1"/>
        <v>481</v>
      </c>
    </row>
    <row r="10" spans="1:12" x14ac:dyDescent="0.3">
      <c r="A10" s="285"/>
      <c r="B10" s="268"/>
      <c r="C10" s="2" t="s">
        <v>20</v>
      </c>
      <c r="D10" s="3">
        <v>500</v>
      </c>
      <c r="E10" s="3">
        <v>211</v>
      </c>
      <c r="F10" s="3"/>
      <c r="G10" s="3"/>
      <c r="H10" s="3"/>
      <c r="I10" s="3"/>
      <c r="J10" s="20">
        <f t="shared" si="0"/>
        <v>211</v>
      </c>
      <c r="K10" s="108">
        <v>132</v>
      </c>
      <c r="L10" s="3">
        <f t="shared" si="1"/>
        <v>79</v>
      </c>
    </row>
    <row r="11" spans="1:12" x14ac:dyDescent="0.3">
      <c r="A11" s="285"/>
      <c r="B11" s="265"/>
      <c r="C11" s="2" t="s">
        <v>84</v>
      </c>
      <c r="D11" s="3">
        <v>0</v>
      </c>
      <c r="E11" s="3">
        <v>9238</v>
      </c>
      <c r="F11" s="3"/>
      <c r="G11" s="3"/>
      <c r="H11" s="3"/>
      <c r="I11" s="3"/>
      <c r="J11" s="20">
        <f t="shared" si="0"/>
        <v>9238</v>
      </c>
      <c r="K11" s="108">
        <v>3234</v>
      </c>
      <c r="L11" s="3">
        <f t="shared" si="1"/>
        <v>6004</v>
      </c>
    </row>
    <row r="12" spans="1:12" x14ac:dyDescent="0.3">
      <c r="A12" s="285"/>
      <c r="B12" s="264">
        <v>104043</v>
      </c>
      <c r="C12" s="2" t="s">
        <v>20</v>
      </c>
      <c r="D12" s="3">
        <v>500</v>
      </c>
      <c r="E12" s="3">
        <v>210</v>
      </c>
      <c r="F12" s="3"/>
      <c r="G12" s="3"/>
      <c r="H12" s="3"/>
      <c r="I12" s="3"/>
      <c r="J12" s="20">
        <f t="shared" si="0"/>
        <v>210</v>
      </c>
      <c r="K12" s="108">
        <v>131</v>
      </c>
      <c r="L12" s="3">
        <f t="shared" si="1"/>
        <v>79</v>
      </c>
    </row>
    <row r="13" spans="1:12" x14ac:dyDescent="0.3">
      <c r="A13" s="263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08">
        <v>1</v>
      </c>
      <c r="L13" s="3">
        <f t="shared" si="1"/>
        <v>0</v>
      </c>
    </row>
    <row r="14" spans="1:12" x14ac:dyDescent="0.3">
      <c r="A14" s="254" t="s">
        <v>7</v>
      </c>
      <c r="B14" s="261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08">
        <v>122992</v>
      </c>
      <c r="L14" s="3">
        <f t="shared" si="1"/>
        <v>122990</v>
      </c>
    </row>
    <row r="15" spans="1:12" x14ac:dyDescent="0.3">
      <c r="A15" s="254"/>
      <c r="B15" s="261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08">
        <v>1005557</v>
      </c>
      <c r="L15" s="3">
        <f t="shared" si="1"/>
        <v>0</v>
      </c>
    </row>
    <row r="16" spans="1:12" x14ac:dyDescent="0.3">
      <c r="A16" s="254" t="s">
        <v>8</v>
      </c>
      <c r="B16" s="261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08">
        <v>1560228</v>
      </c>
      <c r="L16" s="3">
        <f t="shared" si="1"/>
        <v>1543476</v>
      </c>
    </row>
    <row r="17" spans="1:12" x14ac:dyDescent="0.3">
      <c r="A17" s="254"/>
      <c r="B17" s="261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08">
        <v>440959</v>
      </c>
      <c r="L17" s="3">
        <f t="shared" si="1"/>
        <v>0</v>
      </c>
    </row>
    <row r="18" spans="1:12" x14ac:dyDescent="0.3">
      <c r="A18" s="254" t="s">
        <v>9</v>
      </c>
      <c r="B18" s="261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08">
        <v>780469</v>
      </c>
      <c r="L18" s="3">
        <f t="shared" si="1"/>
        <v>634418</v>
      </c>
    </row>
    <row r="19" spans="1:12" x14ac:dyDescent="0.3">
      <c r="A19" s="254"/>
      <c r="B19" s="261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08">
        <v>599759</v>
      </c>
      <c r="L19" s="3">
        <f t="shared" si="1"/>
        <v>0</v>
      </c>
    </row>
    <row r="20" spans="1:12" x14ac:dyDescent="0.3">
      <c r="A20" s="262" t="s">
        <v>54</v>
      </c>
      <c r="B20" s="264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08">
        <v>2028192</v>
      </c>
      <c r="L20" s="3">
        <f t="shared" si="1"/>
        <v>2028191</v>
      </c>
    </row>
    <row r="21" spans="1:12" x14ac:dyDescent="0.3">
      <c r="A21" s="263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08">
        <v>226299</v>
      </c>
      <c r="L21" s="3">
        <f t="shared" si="1"/>
        <v>0</v>
      </c>
    </row>
    <row r="22" spans="1:12" x14ac:dyDescent="0.3">
      <c r="A22" s="254" t="s">
        <v>10</v>
      </c>
      <c r="B22" s="261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08">
        <v>20202943</v>
      </c>
      <c r="L22" s="3">
        <f t="shared" si="1"/>
        <v>33424449</v>
      </c>
    </row>
    <row r="23" spans="1:12" x14ac:dyDescent="0.3">
      <c r="A23" s="254"/>
      <c r="B23" s="261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08">
        <v>6467166</v>
      </c>
      <c r="L23" s="3">
        <f t="shared" si="1"/>
        <v>0</v>
      </c>
    </row>
    <row r="24" spans="1:12" ht="30" customHeight="1" x14ac:dyDescent="0.3">
      <c r="A24" s="346" t="s">
        <v>73</v>
      </c>
      <c r="B24" s="347"/>
      <c r="C24" s="348"/>
      <c r="D24" s="122">
        <f t="shared" ref="D24:L24" si="2">SUM(D5:D23)</f>
        <v>230443641</v>
      </c>
      <c r="E24" s="122">
        <f t="shared" si="2"/>
        <v>230521849</v>
      </c>
      <c r="F24" s="122">
        <f t="shared" si="2"/>
        <v>0</v>
      </c>
      <c r="G24" s="122">
        <f t="shared" si="2"/>
        <v>0</v>
      </c>
      <c r="H24" s="122">
        <f t="shared" si="2"/>
        <v>0</v>
      </c>
      <c r="I24" s="122">
        <f t="shared" si="2"/>
        <v>0</v>
      </c>
      <c r="J24" s="122">
        <f t="shared" si="2"/>
        <v>230521849</v>
      </c>
      <c r="K24" s="123">
        <f t="shared" si="2"/>
        <v>129972568</v>
      </c>
      <c r="L24" s="122">
        <f t="shared" si="2"/>
        <v>100549281</v>
      </c>
    </row>
    <row r="25" spans="1:12" x14ac:dyDescent="0.3">
      <c r="A25" s="254" t="s">
        <v>11</v>
      </c>
      <c r="B25" s="264" t="s">
        <v>23</v>
      </c>
      <c r="C25" s="2" t="s">
        <v>24</v>
      </c>
      <c r="D25" s="3">
        <v>35883092</v>
      </c>
      <c r="E25" s="3">
        <v>35704226</v>
      </c>
      <c r="F25" s="3">
        <v>-134826</v>
      </c>
      <c r="G25" s="3"/>
      <c r="H25" s="3"/>
      <c r="I25" s="3"/>
      <c r="J25" s="20">
        <f t="shared" ref="J25:J31" si="3">E25+F25+G25+H25+I25</f>
        <v>35569400</v>
      </c>
      <c r="K25" s="108">
        <v>18556290</v>
      </c>
      <c r="L25" s="3">
        <f t="shared" ref="L25:L31" si="4">J25-K25</f>
        <v>17013110</v>
      </c>
    </row>
    <row r="26" spans="1:12" x14ac:dyDescent="0.3">
      <c r="A26" s="254"/>
      <c r="B26" s="268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08">
        <v>725000</v>
      </c>
      <c r="L26" s="3">
        <f t="shared" si="4"/>
        <v>817000</v>
      </c>
    </row>
    <row r="27" spans="1:12" x14ac:dyDescent="0.3">
      <c r="A27" s="254"/>
      <c r="B27" s="268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08">
        <v>0</v>
      </c>
      <c r="L27" s="3">
        <f t="shared" si="4"/>
        <v>80000</v>
      </c>
    </row>
    <row r="28" spans="1:12" x14ac:dyDescent="0.3">
      <c r="A28" s="254"/>
      <c r="B28" s="268"/>
      <c r="C28" s="2" t="s">
        <v>27</v>
      </c>
      <c r="D28" s="3">
        <v>893400</v>
      </c>
      <c r="E28" s="3">
        <v>893400</v>
      </c>
      <c r="F28" s="3">
        <v>-5814</v>
      </c>
      <c r="G28" s="3"/>
      <c r="H28" s="3"/>
      <c r="I28" s="3"/>
      <c r="J28" s="20">
        <f t="shared" si="3"/>
        <v>887586</v>
      </c>
      <c r="K28" s="108">
        <v>402540</v>
      </c>
      <c r="L28" s="3">
        <f t="shared" si="4"/>
        <v>485046</v>
      </c>
    </row>
    <row r="29" spans="1:12" x14ac:dyDescent="0.3">
      <c r="A29" s="254"/>
      <c r="B29" s="268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08">
        <v>93000</v>
      </c>
      <c r="L29" s="3">
        <f t="shared" si="4"/>
        <v>97000</v>
      </c>
    </row>
    <row r="30" spans="1:12" x14ac:dyDescent="0.3">
      <c r="A30" s="254"/>
      <c r="B30" s="268"/>
      <c r="C30" s="2" t="s">
        <v>29</v>
      </c>
      <c r="D30" s="3">
        <v>1086500</v>
      </c>
      <c r="E30" s="3">
        <v>1277236</v>
      </c>
      <c r="F30" s="3">
        <v>76523</v>
      </c>
      <c r="G30" s="3"/>
      <c r="H30" s="3"/>
      <c r="I30" s="3"/>
      <c r="J30" s="20">
        <f t="shared" si="3"/>
        <v>1353759</v>
      </c>
      <c r="K30" s="108">
        <v>434161</v>
      </c>
      <c r="L30" s="3">
        <f t="shared" si="4"/>
        <v>919598</v>
      </c>
    </row>
    <row r="31" spans="1:12" x14ac:dyDescent="0.3">
      <c r="A31" s="254"/>
      <c r="B31" s="268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08">
        <v>13902</v>
      </c>
      <c r="L31" s="3">
        <f t="shared" si="4"/>
        <v>86098</v>
      </c>
    </row>
    <row r="32" spans="1:12" x14ac:dyDescent="0.3">
      <c r="A32" s="254"/>
      <c r="B32" s="268"/>
      <c r="C32" s="6" t="s">
        <v>53</v>
      </c>
      <c r="D32" s="7">
        <f>SUM(D25:D31)</f>
        <v>39774992</v>
      </c>
      <c r="E32" s="7">
        <v>39786862</v>
      </c>
      <c r="F32" s="7">
        <f t="shared" ref="F32:L32" si="5">SUM(F25:F31)</f>
        <v>-64117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0">
        <f t="shared" si="5"/>
        <v>20224893</v>
      </c>
      <c r="L32" s="7">
        <f t="shared" si="5"/>
        <v>19497852</v>
      </c>
    </row>
    <row r="33" spans="1:12" x14ac:dyDescent="0.3">
      <c r="A33" s="254"/>
      <c r="B33" s="268"/>
      <c r="C33" s="82" t="s">
        <v>31</v>
      </c>
      <c r="D33" s="83">
        <v>7793417</v>
      </c>
      <c r="E33" s="83">
        <v>7795732</v>
      </c>
      <c r="F33" s="83"/>
      <c r="G33" s="83"/>
      <c r="H33" s="83"/>
      <c r="I33" s="83"/>
      <c r="J33" s="84">
        <f t="shared" ref="J33:J47" si="6">E33+F33+G33+H33+I33</f>
        <v>7795732</v>
      </c>
      <c r="K33" s="111">
        <v>4267066</v>
      </c>
      <c r="L33" s="85">
        <f t="shared" ref="L33:L47" si="7">J33-K33</f>
        <v>3528666</v>
      </c>
    </row>
    <row r="34" spans="1:12" x14ac:dyDescent="0.3">
      <c r="A34" s="254"/>
      <c r="B34" s="268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08">
        <v>24818</v>
      </c>
      <c r="L34" s="3">
        <f t="shared" si="7"/>
        <v>80182</v>
      </c>
    </row>
    <row r="35" spans="1:12" x14ac:dyDescent="0.3">
      <c r="A35" s="254"/>
      <c r="B35" s="268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08">
        <v>1922</v>
      </c>
      <c r="L35" s="3">
        <f t="shared" si="7"/>
        <v>498078</v>
      </c>
    </row>
    <row r="36" spans="1:12" x14ac:dyDescent="0.3">
      <c r="A36" s="254"/>
      <c r="B36" s="268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08">
        <v>74802</v>
      </c>
      <c r="L36" s="3">
        <f t="shared" si="7"/>
        <v>138198</v>
      </c>
    </row>
    <row r="37" spans="1:12" x14ac:dyDescent="0.3">
      <c r="A37" s="254"/>
      <c r="B37" s="268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08">
        <v>36202</v>
      </c>
      <c r="L37" s="3">
        <f t="shared" si="7"/>
        <v>125798</v>
      </c>
    </row>
    <row r="38" spans="1:12" x14ac:dyDescent="0.3">
      <c r="A38" s="254"/>
      <c r="B38" s="268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08">
        <v>352489</v>
      </c>
      <c r="L38" s="3">
        <f t="shared" si="7"/>
        <v>217051</v>
      </c>
    </row>
    <row r="39" spans="1:12" x14ac:dyDescent="0.3">
      <c r="A39" s="254"/>
      <c r="B39" s="268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08">
        <v>0</v>
      </c>
      <c r="L39" s="3">
        <f t="shared" si="7"/>
        <v>3000</v>
      </c>
    </row>
    <row r="40" spans="1:12" x14ac:dyDescent="0.3">
      <c r="A40" s="254"/>
      <c r="B40" s="268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08">
        <v>125776</v>
      </c>
      <c r="L40" s="3">
        <f t="shared" si="7"/>
        <v>330724</v>
      </c>
    </row>
    <row r="41" spans="1:12" x14ac:dyDescent="0.3">
      <c r="A41" s="254"/>
      <c r="B41" s="268"/>
      <c r="C41" s="2" t="s">
        <v>39</v>
      </c>
      <c r="D41" s="3">
        <v>13200</v>
      </c>
      <c r="E41" s="3">
        <v>16540</v>
      </c>
      <c r="F41" s="3"/>
      <c r="G41" s="3"/>
      <c r="H41" s="3"/>
      <c r="I41" s="3"/>
      <c r="J41" s="20">
        <f t="shared" si="6"/>
        <v>16540</v>
      </c>
      <c r="K41" s="108">
        <v>16059</v>
      </c>
      <c r="L41" s="3">
        <f t="shared" si="7"/>
        <v>481</v>
      </c>
    </row>
    <row r="42" spans="1:12" x14ac:dyDescent="0.3">
      <c r="A42" s="254"/>
      <c r="B42" s="268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08">
        <v>26300</v>
      </c>
      <c r="L42" s="3">
        <f t="shared" si="7"/>
        <v>111500</v>
      </c>
    </row>
    <row r="43" spans="1:12" x14ac:dyDescent="0.3">
      <c r="A43" s="254"/>
      <c r="B43" s="268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08">
        <v>416474</v>
      </c>
      <c r="L43" s="3">
        <f t="shared" si="7"/>
        <v>167422</v>
      </c>
    </row>
    <row r="44" spans="1:12" x14ac:dyDescent="0.3">
      <c r="A44" s="254"/>
      <c r="B44" s="268"/>
      <c r="C44" s="2" t="s">
        <v>42</v>
      </c>
      <c r="D44" s="3">
        <v>552000</v>
      </c>
      <c r="E44" s="3">
        <v>539440</v>
      </c>
      <c r="F44" s="3">
        <v>-5395</v>
      </c>
      <c r="G44" s="3"/>
      <c r="H44" s="3"/>
      <c r="I44" s="3"/>
      <c r="J44" s="20">
        <f t="shared" si="6"/>
        <v>534045</v>
      </c>
      <c r="K44" s="108">
        <v>230200</v>
      </c>
      <c r="L44" s="3">
        <f t="shared" si="7"/>
        <v>303845</v>
      </c>
    </row>
    <row r="45" spans="1:12" x14ac:dyDescent="0.3">
      <c r="A45" s="254"/>
      <c r="B45" s="268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08">
        <v>0</v>
      </c>
      <c r="L45" s="3">
        <f t="shared" si="7"/>
        <v>30000</v>
      </c>
    </row>
    <row r="46" spans="1:12" x14ac:dyDescent="0.3">
      <c r="A46" s="254"/>
      <c r="B46" s="268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08">
        <v>108831</v>
      </c>
      <c r="L46" s="3">
        <f t="shared" si="7"/>
        <v>109604</v>
      </c>
    </row>
    <row r="47" spans="1:12" x14ac:dyDescent="0.3">
      <c r="A47" s="254"/>
      <c r="B47" s="268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08">
        <v>48233</v>
      </c>
      <c r="L47" s="3">
        <f t="shared" si="7"/>
        <v>27531</v>
      </c>
    </row>
    <row r="48" spans="1:12" x14ac:dyDescent="0.3">
      <c r="A48" s="254"/>
      <c r="B48" s="268"/>
      <c r="C48" s="6" t="s">
        <v>49</v>
      </c>
      <c r="D48" s="7">
        <f>SUM(D34:D47)</f>
        <v>3863610</v>
      </c>
      <c r="E48" s="7">
        <v>3610915</v>
      </c>
      <c r="F48" s="7">
        <f t="shared" ref="F48:L48" si="8">SUM(F34:F47)</f>
        <v>-5395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3605520</v>
      </c>
      <c r="K48" s="110">
        <f t="shared" si="8"/>
        <v>1462106</v>
      </c>
      <c r="L48" s="7">
        <f t="shared" si="8"/>
        <v>2143414</v>
      </c>
    </row>
    <row r="49" spans="1:12" x14ac:dyDescent="0.3">
      <c r="A49" s="254"/>
      <c r="B49" s="268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08">
        <v>0</v>
      </c>
      <c r="L49" s="3">
        <f t="shared" ref="L49:L50" si="10">J49-K49</f>
        <v>78740</v>
      </c>
    </row>
    <row r="50" spans="1:12" x14ac:dyDescent="0.3">
      <c r="A50" s="254"/>
      <c r="B50" s="268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08">
        <v>0</v>
      </c>
      <c r="L50" s="3">
        <f t="shared" si="10"/>
        <v>21260</v>
      </c>
    </row>
    <row r="51" spans="1:12" x14ac:dyDescent="0.3">
      <c r="A51" s="254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0">
        <f t="shared" si="11"/>
        <v>0</v>
      </c>
      <c r="L51" s="7">
        <f t="shared" si="11"/>
        <v>100000</v>
      </c>
    </row>
    <row r="52" spans="1:12" x14ac:dyDescent="0.3">
      <c r="A52" s="254"/>
      <c r="B52" s="261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08">
        <v>13161649</v>
      </c>
      <c r="L52" s="3">
        <f t="shared" ref="L52:L60" si="13">J52-K52</f>
        <v>11981632</v>
      </c>
    </row>
    <row r="53" spans="1:12" x14ac:dyDescent="0.3">
      <c r="A53" s="254"/>
      <c r="B53" s="261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08">
        <v>1116546</v>
      </c>
      <c r="L53" s="3">
        <f t="shared" si="13"/>
        <v>923934</v>
      </c>
    </row>
    <row r="54" spans="1:12" x14ac:dyDescent="0.3">
      <c r="A54" s="254"/>
      <c r="B54" s="261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08">
        <v>0</v>
      </c>
      <c r="L54" s="3">
        <f t="shared" si="13"/>
        <v>0</v>
      </c>
    </row>
    <row r="55" spans="1:12" x14ac:dyDescent="0.3">
      <c r="A55" s="254"/>
      <c r="B55" s="261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08">
        <v>450000</v>
      </c>
      <c r="L55" s="3">
        <f t="shared" si="13"/>
        <v>575000</v>
      </c>
    </row>
    <row r="56" spans="1:12" x14ac:dyDescent="0.3">
      <c r="A56" s="254"/>
      <c r="B56" s="261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08">
        <v>0</v>
      </c>
      <c r="L56" s="3">
        <f t="shared" si="13"/>
        <v>60000</v>
      </c>
    </row>
    <row r="57" spans="1:12" x14ac:dyDescent="0.3">
      <c r="A57" s="254"/>
      <c r="B57" s="261"/>
      <c r="C57" s="2" t="s">
        <v>27</v>
      </c>
      <c r="D57" s="3">
        <v>240000</v>
      </c>
      <c r="E57" s="3">
        <v>234798</v>
      </c>
      <c r="F57" s="3"/>
      <c r="G57" s="3"/>
      <c r="H57" s="3"/>
      <c r="I57" s="3"/>
      <c r="J57" s="20">
        <f t="shared" si="12"/>
        <v>234798</v>
      </c>
      <c r="K57" s="108">
        <v>85770</v>
      </c>
      <c r="L57" s="3">
        <f t="shared" si="13"/>
        <v>149028</v>
      </c>
    </row>
    <row r="58" spans="1:12" x14ac:dyDescent="0.3">
      <c r="A58" s="254"/>
      <c r="B58" s="261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08">
        <v>57000</v>
      </c>
      <c r="L58" s="3">
        <f t="shared" si="13"/>
        <v>90000</v>
      </c>
    </row>
    <row r="59" spans="1:12" x14ac:dyDescent="0.3">
      <c r="A59" s="254"/>
      <c r="B59" s="261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08">
        <v>385988</v>
      </c>
      <c r="L59" s="3">
        <f t="shared" si="13"/>
        <v>167512</v>
      </c>
    </row>
    <row r="60" spans="1:12" x14ac:dyDescent="0.3">
      <c r="A60" s="254"/>
      <c r="B60" s="261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08">
        <v>13902</v>
      </c>
      <c r="L60" s="3">
        <f t="shared" si="13"/>
        <v>86098</v>
      </c>
    </row>
    <row r="61" spans="1:12" x14ac:dyDescent="0.3">
      <c r="A61" s="254"/>
      <c r="B61" s="261"/>
      <c r="C61" s="6" t="s">
        <v>53</v>
      </c>
      <c r="D61" s="7">
        <f>SUM(D52:D60)</f>
        <v>29289325</v>
      </c>
      <c r="E61" s="7">
        <v>29304059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29304059</v>
      </c>
      <c r="K61" s="110">
        <f t="shared" si="14"/>
        <v>15270855</v>
      </c>
      <c r="L61" s="7">
        <f t="shared" si="14"/>
        <v>14033204</v>
      </c>
    </row>
    <row r="62" spans="1:12" x14ac:dyDescent="0.3">
      <c r="A62" s="254"/>
      <c r="B62" s="261"/>
      <c r="C62" s="82" t="s">
        <v>31</v>
      </c>
      <c r="D62" s="83">
        <v>5849797</v>
      </c>
      <c r="E62" s="83">
        <v>5853685</v>
      </c>
      <c r="F62" s="83"/>
      <c r="G62" s="83"/>
      <c r="H62" s="83"/>
      <c r="I62" s="83"/>
      <c r="J62" s="84">
        <f t="shared" ref="J62:J75" si="15">E62+F62+G62+H62+I62</f>
        <v>5853685</v>
      </c>
      <c r="K62" s="111">
        <v>3316407</v>
      </c>
      <c r="L62" s="85">
        <f t="shared" ref="L62:L75" si="16">J62-K62</f>
        <v>2537278</v>
      </c>
    </row>
    <row r="63" spans="1:12" x14ac:dyDescent="0.3">
      <c r="A63" s="254"/>
      <c r="B63" s="261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08">
        <v>24820</v>
      </c>
      <c r="L63" s="3">
        <f t="shared" si="16"/>
        <v>80180</v>
      </c>
    </row>
    <row r="64" spans="1:12" x14ac:dyDescent="0.3">
      <c r="A64" s="254"/>
      <c r="B64" s="261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08">
        <v>14994</v>
      </c>
      <c r="L64" s="3">
        <f t="shared" si="16"/>
        <v>685006</v>
      </c>
    </row>
    <row r="65" spans="1:12" x14ac:dyDescent="0.3">
      <c r="A65" s="254"/>
      <c r="B65" s="261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08">
        <v>67184</v>
      </c>
      <c r="L65" s="3">
        <f t="shared" si="16"/>
        <v>145816</v>
      </c>
    </row>
    <row r="66" spans="1:12" x14ac:dyDescent="0.3">
      <c r="A66" s="254"/>
      <c r="B66" s="261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08">
        <v>66471</v>
      </c>
      <c r="L66" s="3">
        <f t="shared" si="16"/>
        <v>55729</v>
      </c>
    </row>
    <row r="67" spans="1:12" x14ac:dyDescent="0.3">
      <c r="A67" s="254"/>
      <c r="B67" s="261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08">
        <v>425731</v>
      </c>
      <c r="L67" s="3">
        <f t="shared" si="16"/>
        <v>243809</v>
      </c>
    </row>
    <row r="68" spans="1:12" x14ac:dyDescent="0.3">
      <c r="A68" s="254"/>
      <c r="B68" s="261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08">
        <v>0</v>
      </c>
      <c r="L68" s="3">
        <f t="shared" si="16"/>
        <v>123000</v>
      </c>
    </row>
    <row r="69" spans="1:12" x14ac:dyDescent="0.3">
      <c r="A69" s="254"/>
      <c r="B69" s="261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08">
        <v>130277</v>
      </c>
      <c r="L69" s="3">
        <f t="shared" si="16"/>
        <v>329723</v>
      </c>
    </row>
    <row r="70" spans="1:12" x14ac:dyDescent="0.3">
      <c r="A70" s="254"/>
      <c r="B70" s="261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08">
        <v>398052</v>
      </c>
      <c r="L70" s="3">
        <f t="shared" si="16"/>
        <v>963852</v>
      </c>
    </row>
    <row r="71" spans="1:12" x14ac:dyDescent="0.3">
      <c r="A71" s="254"/>
      <c r="B71" s="261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08">
        <v>562674</v>
      </c>
      <c r="L71" s="3">
        <f t="shared" si="16"/>
        <v>417877</v>
      </c>
    </row>
    <row r="72" spans="1:12" x14ac:dyDescent="0.3">
      <c r="A72" s="254"/>
      <c r="B72" s="261"/>
      <c r="C72" s="2" t="s">
        <v>42</v>
      </c>
      <c r="D72" s="3">
        <v>1200000</v>
      </c>
      <c r="E72" s="3">
        <v>1140675</v>
      </c>
      <c r="F72" s="3"/>
      <c r="G72" s="3"/>
      <c r="H72" s="3"/>
      <c r="I72" s="3"/>
      <c r="J72" s="20">
        <f t="shared" si="15"/>
        <v>1140675</v>
      </c>
      <c r="K72" s="108">
        <v>233660</v>
      </c>
      <c r="L72" s="3">
        <f t="shared" si="16"/>
        <v>907015</v>
      </c>
    </row>
    <row r="73" spans="1:12" x14ac:dyDescent="0.3">
      <c r="A73" s="254"/>
      <c r="B73" s="261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08">
        <v>0</v>
      </c>
      <c r="L73" s="3">
        <f t="shared" si="16"/>
        <v>30000</v>
      </c>
    </row>
    <row r="74" spans="1:12" x14ac:dyDescent="0.3">
      <c r="A74" s="254"/>
      <c r="B74" s="261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08">
        <v>213640</v>
      </c>
      <c r="L74" s="3">
        <f t="shared" si="16"/>
        <v>766783</v>
      </c>
    </row>
    <row r="75" spans="1:12" x14ac:dyDescent="0.3">
      <c r="A75" s="254"/>
      <c r="B75" s="261"/>
      <c r="C75" s="2" t="s">
        <v>45</v>
      </c>
      <c r="D75" s="3">
        <v>433021</v>
      </c>
      <c r="E75" s="3">
        <v>160403</v>
      </c>
      <c r="F75" s="3">
        <v>-26400</v>
      </c>
      <c r="G75" s="3"/>
      <c r="H75" s="3"/>
      <c r="I75" s="3"/>
      <c r="J75" s="20">
        <f t="shared" si="15"/>
        <v>134003</v>
      </c>
      <c r="K75" s="108">
        <v>0</v>
      </c>
      <c r="L75" s="3">
        <f t="shared" si="16"/>
        <v>134003</v>
      </c>
    </row>
    <row r="76" spans="1:12" x14ac:dyDescent="0.3">
      <c r="A76" s="254"/>
      <c r="B76" s="261"/>
      <c r="C76" s="6" t="s">
        <v>49</v>
      </c>
      <c r="D76" s="7">
        <f>SUM(D63:D75)</f>
        <v>7607209</v>
      </c>
      <c r="E76" s="7">
        <v>7046696</v>
      </c>
      <c r="F76" s="7">
        <f t="shared" ref="F76:L76" si="17">SUM(F63:F75)</f>
        <v>-26400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7020296</v>
      </c>
      <c r="K76" s="110">
        <f t="shared" si="17"/>
        <v>2137503</v>
      </c>
      <c r="L76" s="7">
        <f t="shared" si="17"/>
        <v>4882793</v>
      </c>
    </row>
    <row r="77" spans="1:12" x14ac:dyDescent="0.3">
      <c r="A77" s="254"/>
      <c r="B77" s="261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08">
        <v>0</v>
      </c>
      <c r="L77" s="3">
        <f t="shared" ref="L77:L78" si="19">J77-K77</f>
        <v>78740</v>
      </c>
    </row>
    <row r="78" spans="1:12" x14ac:dyDescent="0.3">
      <c r="A78" s="254"/>
      <c r="B78" s="261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08">
        <v>0</v>
      </c>
      <c r="L78" s="3">
        <f t="shared" si="19"/>
        <v>21260</v>
      </c>
    </row>
    <row r="79" spans="1:12" x14ac:dyDescent="0.3">
      <c r="A79" s="254"/>
      <c r="B79" s="261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0">
        <f t="shared" si="20"/>
        <v>0</v>
      </c>
      <c r="L79" s="7">
        <f t="shared" si="20"/>
        <v>100000</v>
      </c>
    </row>
    <row r="80" spans="1:12" x14ac:dyDescent="0.3">
      <c r="A80" s="281" t="s">
        <v>58</v>
      </c>
      <c r="B80" s="280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08">
        <v>250200</v>
      </c>
      <c r="L80" s="3">
        <f t="shared" ref="L80:L87" si="22">J80-K80</f>
        <v>160200</v>
      </c>
    </row>
    <row r="81" spans="1:12" x14ac:dyDescent="0.3">
      <c r="A81" s="282"/>
      <c r="B81" s="28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08">
        <v>48789</v>
      </c>
      <c r="L81" s="3">
        <f t="shared" si="22"/>
        <v>27477</v>
      </c>
    </row>
    <row r="82" spans="1:12" x14ac:dyDescent="0.3">
      <c r="A82" s="281" t="s">
        <v>59</v>
      </c>
      <c r="B82" s="280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08">
        <v>209300</v>
      </c>
      <c r="L82" s="3">
        <f t="shared" si="22"/>
        <v>394300</v>
      </c>
    </row>
    <row r="83" spans="1:12" x14ac:dyDescent="0.3">
      <c r="A83" s="282"/>
      <c r="B83" s="28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08">
        <v>40813</v>
      </c>
      <c r="L83" s="3">
        <f t="shared" si="22"/>
        <v>71356</v>
      </c>
    </row>
    <row r="84" spans="1:12" x14ac:dyDescent="0.3">
      <c r="A84" s="281" t="s">
        <v>60</v>
      </c>
      <c r="B84" s="280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08">
        <v>6011738</v>
      </c>
      <c r="L84" s="3">
        <f t="shared" si="22"/>
        <v>4664488</v>
      </c>
    </row>
    <row r="85" spans="1:12" x14ac:dyDescent="0.3">
      <c r="A85" s="282"/>
      <c r="B85" s="28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08">
        <v>1172290</v>
      </c>
      <c r="L85" s="3">
        <f t="shared" si="22"/>
        <v>816975</v>
      </c>
    </row>
    <row r="86" spans="1:12" x14ac:dyDescent="0.3">
      <c r="A86" s="281" t="s">
        <v>61</v>
      </c>
      <c r="B86" s="280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08">
        <v>4413243</v>
      </c>
      <c r="L86" s="3">
        <f t="shared" si="22"/>
        <v>3984431</v>
      </c>
    </row>
    <row r="87" spans="1:12" x14ac:dyDescent="0.3">
      <c r="A87" s="282"/>
      <c r="B87" s="28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08">
        <v>860579</v>
      </c>
      <c r="L87" s="3">
        <f t="shared" si="22"/>
        <v>702774</v>
      </c>
    </row>
    <row r="88" spans="1:12" x14ac:dyDescent="0.3">
      <c r="A88" s="346" t="s">
        <v>76</v>
      </c>
      <c r="B88" s="347"/>
      <c r="C88" s="348"/>
      <c r="D88" s="122">
        <f t="shared" ref="D88" si="23">SUM(D32+D33+D48+D51+D61+D62+D76+D79+D80+D81+D82+D83+D84+D85+D86+D87)</f>
        <v>118207303</v>
      </c>
      <c r="E88" s="122">
        <v>117426902</v>
      </c>
      <c r="F88" s="122">
        <f t="shared" ref="F88:L88" si="24">SUM(F32+F33+F48+F51+F61+F62+F76+F79+F80+F81+F82+F83+F84+F85+F86+F87)</f>
        <v>-95912</v>
      </c>
      <c r="G88" s="122">
        <f t="shared" si="24"/>
        <v>0</v>
      </c>
      <c r="H88" s="122">
        <f t="shared" si="24"/>
        <v>0</v>
      </c>
      <c r="I88" s="122">
        <f t="shared" si="24"/>
        <v>0</v>
      </c>
      <c r="J88" s="122">
        <f t="shared" si="24"/>
        <v>117330990</v>
      </c>
      <c r="K88" s="124">
        <f t="shared" si="24"/>
        <v>59685782</v>
      </c>
      <c r="L88" s="122">
        <f t="shared" si="24"/>
        <v>57645208</v>
      </c>
    </row>
    <row r="89" spans="1:12" x14ac:dyDescent="0.3">
      <c r="A89" s="254" t="s">
        <v>12</v>
      </c>
      <c r="B89" s="261" t="s">
        <v>23</v>
      </c>
      <c r="C89" s="2" t="s">
        <v>24</v>
      </c>
      <c r="D89" s="3">
        <v>4811583</v>
      </c>
      <c r="E89" s="3">
        <v>4811583</v>
      </c>
      <c r="F89" s="3">
        <v>-78715</v>
      </c>
      <c r="G89" s="3"/>
      <c r="H89" s="3"/>
      <c r="I89" s="3"/>
      <c r="J89" s="20">
        <f t="shared" ref="J89:J95" si="25">E89+F89+G89+H89+I89</f>
        <v>4732868</v>
      </c>
      <c r="K89" s="108">
        <v>2588552</v>
      </c>
      <c r="L89" s="3">
        <f t="shared" ref="L89:L95" si="26">J89-K89</f>
        <v>2144316</v>
      </c>
    </row>
    <row r="90" spans="1:12" x14ac:dyDescent="0.3">
      <c r="A90" s="254"/>
      <c r="B90" s="261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08">
        <v>100000</v>
      </c>
      <c r="L90" s="3">
        <f t="shared" si="26"/>
        <v>100000</v>
      </c>
    </row>
    <row r="91" spans="1:12" x14ac:dyDescent="0.3">
      <c r="A91" s="254"/>
      <c r="B91" s="261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08">
        <v>0</v>
      </c>
      <c r="L91" s="3">
        <f t="shared" si="26"/>
        <v>10000</v>
      </c>
    </row>
    <row r="92" spans="1:12" x14ac:dyDescent="0.3">
      <c r="A92" s="254"/>
      <c r="B92" s="261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08">
        <v>79380</v>
      </c>
      <c r="L92" s="3">
        <f t="shared" si="26"/>
        <v>118620</v>
      </c>
    </row>
    <row r="93" spans="1:12" x14ac:dyDescent="0.3">
      <c r="A93" s="254"/>
      <c r="B93" s="261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08">
        <v>12000</v>
      </c>
      <c r="L93" s="3">
        <f t="shared" si="26"/>
        <v>12000</v>
      </c>
    </row>
    <row r="94" spans="1:12" x14ac:dyDescent="0.3">
      <c r="A94" s="254"/>
      <c r="B94" s="261"/>
      <c r="C94" s="2" t="s">
        <v>29</v>
      </c>
      <c r="D94" s="3">
        <v>75000</v>
      </c>
      <c r="E94" s="3">
        <v>75000</v>
      </c>
      <c r="F94" s="3">
        <v>78715</v>
      </c>
      <c r="G94" s="3"/>
      <c r="H94" s="3"/>
      <c r="I94" s="3"/>
      <c r="J94" s="20">
        <f t="shared" si="25"/>
        <v>153715</v>
      </c>
      <c r="K94" s="108">
        <v>78715</v>
      </c>
      <c r="L94" s="3">
        <f t="shared" si="26"/>
        <v>75000</v>
      </c>
    </row>
    <row r="95" spans="1:12" x14ac:dyDescent="0.3">
      <c r="A95" s="254"/>
      <c r="B95" s="261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08">
        <v>0</v>
      </c>
      <c r="L95" s="3">
        <f t="shared" si="26"/>
        <v>0</v>
      </c>
    </row>
    <row r="96" spans="1:12" x14ac:dyDescent="0.3">
      <c r="A96" s="254"/>
      <c r="B96" s="261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0">
        <f t="shared" si="27"/>
        <v>2858647</v>
      </c>
      <c r="L96" s="7">
        <f t="shared" si="27"/>
        <v>2459936</v>
      </c>
    </row>
    <row r="97" spans="1:12" x14ac:dyDescent="0.3">
      <c r="A97" s="254"/>
      <c r="B97" s="261"/>
      <c r="C97" s="82" t="s">
        <v>31</v>
      </c>
      <c r="D97" s="83">
        <v>1035556</v>
      </c>
      <c r="E97" s="83">
        <v>1035556</v>
      </c>
      <c r="F97" s="83"/>
      <c r="G97" s="83"/>
      <c r="H97" s="83"/>
      <c r="I97" s="83"/>
      <c r="J97" s="84">
        <f t="shared" ref="J97:J107" si="28">E97+F97+G97+H97+I97</f>
        <v>1035556</v>
      </c>
      <c r="K97" s="111">
        <v>596826</v>
      </c>
      <c r="L97" s="85">
        <f t="shared" ref="L97:L107" si="29">J97-K97</f>
        <v>438730</v>
      </c>
    </row>
    <row r="98" spans="1:12" x14ac:dyDescent="0.3">
      <c r="A98" s="254"/>
      <c r="B98" s="261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08">
        <v>0</v>
      </c>
      <c r="L98" s="3">
        <f t="shared" si="29"/>
        <v>100000</v>
      </c>
    </row>
    <row r="99" spans="1:12" x14ac:dyDescent="0.3">
      <c r="A99" s="254"/>
      <c r="B99" s="261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08">
        <v>0</v>
      </c>
      <c r="L99" s="3">
        <f t="shared" si="29"/>
        <v>100000</v>
      </c>
    </row>
    <row r="100" spans="1:12" x14ac:dyDescent="0.3">
      <c r="A100" s="254"/>
      <c r="B100" s="261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08">
        <v>0</v>
      </c>
      <c r="L100" s="3">
        <f t="shared" si="29"/>
        <v>210000</v>
      </c>
    </row>
    <row r="101" spans="1:12" x14ac:dyDescent="0.3">
      <c r="A101" s="254"/>
      <c r="B101" s="261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08">
        <v>0</v>
      </c>
      <c r="L101" s="3">
        <f t="shared" si="29"/>
        <v>110000</v>
      </c>
    </row>
    <row r="102" spans="1:12" x14ac:dyDescent="0.3">
      <c r="A102" s="254"/>
      <c r="B102" s="261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08">
        <v>324334</v>
      </c>
      <c r="L102" s="3">
        <f t="shared" si="29"/>
        <v>175666</v>
      </c>
    </row>
    <row r="103" spans="1:12" x14ac:dyDescent="0.3">
      <c r="A103" s="254"/>
      <c r="B103" s="261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08">
        <v>0</v>
      </c>
      <c r="L103" s="3">
        <f t="shared" si="29"/>
        <v>140000</v>
      </c>
    </row>
    <row r="104" spans="1:12" x14ac:dyDescent="0.3">
      <c r="A104" s="254"/>
      <c r="B104" s="261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08">
        <v>3400</v>
      </c>
      <c r="L104" s="3">
        <f t="shared" si="29"/>
        <v>13400</v>
      </c>
    </row>
    <row r="105" spans="1:12" x14ac:dyDescent="0.3">
      <c r="A105" s="254"/>
      <c r="B105" s="261"/>
      <c r="C105" s="2" t="s">
        <v>41</v>
      </c>
      <c r="D105" s="3">
        <v>80000</v>
      </c>
      <c r="E105" s="3">
        <v>80000</v>
      </c>
      <c r="F105" s="3">
        <v>5160</v>
      </c>
      <c r="G105" s="3"/>
      <c r="H105" s="3"/>
      <c r="I105" s="3"/>
      <c r="J105" s="20">
        <f t="shared" si="28"/>
        <v>85160</v>
      </c>
      <c r="K105" s="108">
        <v>85160</v>
      </c>
      <c r="L105" s="132">
        <f t="shared" si="29"/>
        <v>0</v>
      </c>
    </row>
    <row r="106" spans="1:12" x14ac:dyDescent="0.3">
      <c r="A106" s="254"/>
      <c r="B106" s="261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08">
        <v>109985</v>
      </c>
      <c r="L106" s="3">
        <f t="shared" si="29"/>
        <v>130015</v>
      </c>
    </row>
    <row r="107" spans="1:12" x14ac:dyDescent="0.3">
      <c r="A107" s="254"/>
      <c r="B107" s="261"/>
      <c r="C107" s="2" t="s">
        <v>44</v>
      </c>
      <c r="D107" s="3">
        <v>200600</v>
      </c>
      <c r="E107" s="3">
        <v>200600</v>
      </c>
      <c r="F107" s="3">
        <v>-5160</v>
      </c>
      <c r="G107" s="3"/>
      <c r="H107" s="3"/>
      <c r="I107" s="3"/>
      <c r="J107" s="20">
        <f t="shared" si="28"/>
        <v>195440</v>
      </c>
      <c r="K107" s="108">
        <v>26519</v>
      </c>
      <c r="L107" s="3">
        <f t="shared" si="29"/>
        <v>168921</v>
      </c>
    </row>
    <row r="108" spans="1:12" x14ac:dyDescent="0.3">
      <c r="A108" s="254"/>
      <c r="B108" s="261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0">
        <f t="shared" si="30"/>
        <v>549398</v>
      </c>
      <c r="L108" s="7">
        <f t="shared" si="30"/>
        <v>1148002</v>
      </c>
    </row>
    <row r="109" spans="1:12" x14ac:dyDescent="0.3">
      <c r="A109" s="262" t="s">
        <v>62</v>
      </c>
      <c r="B109" s="264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08">
        <v>41100</v>
      </c>
      <c r="L109" s="3">
        <f t="shared" ref="L109:L112" si="32">J109-K109</f>
        <v>70500</v>
      </c>
    </row>
    <row r="110" spans="1:12" x14ac:dyDescent="0.3">
      <c r="A110" s="263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08">
        <v>8012</v>
      </c>
      <c r="L110" s="3">
        <f t="shared" si="32"/>
        <v>12727</v>
      </c>
    </row>
    <row r="111" spans="1:12" x14ac:dyDescent="0.3">
      <c r="A111" s="262" t="s">
        <v>63</v>
      </c>
      <c r="B111" s="264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08">
        <v>874995</v>
      </c>
      <c r="L111" s="3">
        <f t="shared" si="32"/>
        <v>585277</v>
      </c>
    </row>
    <row r="112" spans="1:12" x14ac:dyDescent="0.3">
      <c r="A112" s="263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08">
        <v>170624</v>
      </c>
      <c r="L112" s="3">
        <f t="shared" si="32"/>
        <v>101544</v>
      </c>
    </row>
    <row r="113" spans="1:12" x14ac:dyDescent="0.3">
      <c r="A113" s="346" t="s">
        <v>77</v>
      </c>
      <c r="B113" s="347"/>
      <c r="C113" s="348"/>
      <c r="D113" s="122">
        <f>SUM(D96+D97+D108+D109+D110+D111+D112)</f>
        <v>9916318</v>
      </c>
      <c r="E113" s="122">
        <v>9916318</v>
      </c>
      <c r="F113" s="122">
        <f t="shared" ref="F113:L113" si="33">SUM(F96+F97+F108+F109+F110+F111+F112)</f>
        <v>0</v>
      </c>
      <c r="G113" s="122">
        <f t="shared" si="33"/>
        <v>0</v>
      </c>
      <c r="H113" s="122">
        <f t="shared" si="33"/>
        <v>0</v>
      </c>
      <c r="I113" s="122">
        <f t="shared" si="33"/>
        <v>0</v>
      </c>
      <c r="J113" s="122">
        <f t="shared" si="33"/>
        <v>9916318</v>
      </c>
      <c r="K113" s="124">
        <f t="shared" si="33"/>
        <v>5099602</v>
      </c>
      <c r="L113" s="122">
        <f t="shared" si="33"/>
        <v>4816716</v>
      </c>
    </row>
    <row r="114" spans="1:12" x14ac:dyDescent="0.3">
      <c r="A114" s="254" t="s">
        <v>13</v>
      </c>
      <c r="B114" s="261" t="s">
        <v>23</v>
      </c>
      <c r="C114" s="2" t="s">
        <v>24</v>
      </c>
      <c r="D114" s="3">
        <v>4871210</v>
      </c>
      <c r="E114" s="3">
        <v>4856627</v>
      </c>
      <c r="F114" s="3"/>
      <c r="G114" s="3"/>
      <c r="H114" s="3"/>
      <c r="I114" s="3"/>
      <c r="J114" s="20">
        <f t="shared" ref="J114:J119" si="34">E114+F114+G114+H114+I114</f>
        <v>4856627</v>
      </c>
      <c r="K114" s="108">
        <v>2735899</v>
      </c>
      <c r="L114" s="3">
        <f t="shared" ref="L114:L119" si="35">J114-K114</f>
        <v>2120728</v>
      </c>
    </row>
    <row r="115" spans="1:12" x14ac:dyDescent="0.3">
      <c r="A115" s="254"/>
      <c r="B115" s="261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08">
        <v>100000</v>
      </c>
      <c r="L115" s="3">
        <f t="shared" si="35"/>
        <v>100000</v>
      </c>
    </row>
    <row r="116" spans="1:12" x14ac:dyDescent="0.3">
      <c r="A116" s="254"/>
      <c r="B116" s="261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08">
        <v>0</v>
      </c>
      <c r="L116" s="3">
        <f t="shared" si="35"/>
        <v>10000</v>
      </c>
    </row>
    <row r="117" spans="1:12" x14ac:dyDescent="0.3">
      <c r="A117" s="254"/>
      <c r="B117" s="261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08">
        <v>12000</v>
      </c>
      <c r="L117" s="3">
        <f t="shared" si="35"/>
        <v>12000</v>
      </c>
    </row>
    <row r="118" spans="1:12" x14ac:dyDescent="0.3">
      <c r="A118" s="254"/>
      <c r="B118" s="261"/>
      <c r="C118" s="2" t="s">
        <v>29</v>
      </c>
      <c r="D118" s="3">
        <v>75000</v>
      </c>
      <c r="E118" s="3">
        <v>103601</v>
      </c>
      <c r="F118" s="3"/>
      <c r="G118" s="3"/>
      <c r="H118" s="3"/>
      <c r="I118" s="3"/>
      <c r="J118" s="20">
        <f t="shared" si="34"/>
        <v>103601</v>
      </c>
      <c r="K118" s="108">
        <v>28601</v>
      </c>
      <c r="L118" s="3">
        <f t="shared" si="35"/>
        <v>75000</v>
      </c>
    </row>
    <row r="119" spans="1:12" x14ac:dyDescent="0.3">
      <c r="A119" s="254"/>
      <c r="B119" s="261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08">
        <v>0</v>
      </c>
      <c r="L119" s="3">
        <f t="shared" si="35"/>
        <v>0</v>
      </c>
    </row>
    <row r="120" spans="1:12" x14ac:dyDescent="0.3">
      <c r="A120" s="254"/>
      <c r="B120" s="261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0">
        <f t="shared" si="36"/>
        <v>2876500</v>
      </c>
      <c r="L120" s="7">
        <f t="shared" si="36"/>
        <v>2317728</v>
      </c>
    </row>
    <row r="121" spans="1:12" x14ac:dyDescent="0.3">
      <c r="A121" s="254"/>
      <c r="B121" s="261"/>
      <c r="C121" s="82" t="s">
        <v>31</v>
      </c>
      <c r="D121" s="83">
        <v>1046402</v>
      </c>
      <c r="E121" s="83">
        <v>1049135</v>
      </c>
      <c r="F121" s="83"/>
      <c r="G121" s="83"/>
      <c r="H121" s="83"/>
      <c r="I121" s="83"/>
      <c r="J121" s="84">
        <f t="shared" ref="J121:J129" si="37">E121+F121+G121+H121+I121</f>
        <v>1049135</v>
      </c>
      <c r="K121" s="111">
        <v>615786</v>
      </c>
      <c r="L121" s="85">
        <f t="shared" ref="L121:L129" si="38">J121-K121</f>
        <v>433349</v>
      </c>
    </row>
    <row r="122" spans="1:12" x14ac:dyDescent="0.3">
      <c r="A122" s="254"/>
      <c r="B122" s="261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08">
        <v>0</v>
      </c>
      <c r="L122" s="3">
        <f t="shared" si="38"/>
        <v>50000</v>
      </c>
    </row>
    <row r="123" spans="1:12" x14ac:dyDescent="0.3">
      <c r="A123" s="254"/>
      <c r="B123" s="261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08">
        <v>0</v>
      </c>
      <c r="L123" s="3">
        <f t="shared" si="38"/>
        <v>100000</v>
      </c>
    </row>
    <row r="124" spans="1:12" x14ac:dyDescent="0.3">
      <c r="A124" s="254"/>
      <c r="B124" s="261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08">
        <v>0</v>
      </c>
      <c r="L124" s="3">
        <f t="shared" si="38"/>
        <v>116000</v>
      </c>
    </row>
    <row r="125" spans="1:12" x14ac:dyDescent="0.3">
      <c r="A125" s="254"/>
      <c r="B125" s="261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08">
        <v>0</v>
      </c>
      <c r="L125" s="3">
        <f t="shared" si="38"/>
        <v>50000</v>
      </c>
    </row>
    <row r="126" spans="1:12" x14ac:dyDescent="0.3">
      <c r="A126" s="254"/>
      <c r="B126" s="261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08">
        <v>3400</v>
      </c>
      <c r="L126" s="3">
        <f t="shared" si="38"/>
        <v>13400</v>
      </c>
    </row>
    <row r="127" spans="1:12" x14ac:dyDescent="0.3">
      <c r="A127" s="254"/>
      <c r="B127" s="261"/>
      <c r="C127" s="2" t="s">
        <v>41</v>
      </c>
      <c r="D127" s="3">
        <v>0</v>
      </c>
      <c r="E127" s="3">
        <v>40280</v>
      </c>
      <c r="F127" s="3"/>
      <c r="G127" s="3"/>
      <c r="H127" s="3"/>
      <c r="I127" s="3"/>
      <c r="J127" s="20">
        <f t="shared" si="37"/>
        <v>40280</v>
      </c>
      <c r="K127" s="108">
        <v>38160</v>
      </c>
      <c r="L127" s="3">
        <f t="shared" si="38"/>
        <v>2120</v>
      </c>
    </row>
    <row r="128" spans="1:12" x14ac:dyDescent="0.3">
      <c r="A128" s="254"/>
      <c r="B128" s="261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08">
        <v>91795</v>
      </c>
      <c r="L128" s="3">
        <f t="shared" si="38"/>
        <v>141925</v>
      </c>
    </row>
    <row r="129" spans="1:12" x14ac:dyDescent="0.3">
      <c r="A129" s="254"/>
      <c r="B129" s="261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08">
        <v>10302</v>
      </c>
      <c r="L129" s="3">
        <f t="shared" si="38"/>
        <v>84198</v>
      </c>
    </row>
    <row r="130" spans="1:12" x14ac:dyDescent="0.3">
      <c r="A130" s="254"/>
      <c r="B130" s="261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0">
        <f t="shared" si="39"/>
        <v>143657</v>
      </c>
      <c r="L130" s="7">
        <f t="shared" si="39"/>
        <v>557643</v>
      </c>
    </row>
    <row r="131" spans="1:12" x14ac:dyDescent="0.3">
      <c r="A131" s="262" t="s">
        <v>64</v>
      </c>
      <c r="B131" s="264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08">
        <v>23100</v>
      </c>
      <c r="L131" s="3">
        <f t="shared" ref="L131:L134" si="41">J131-K131</f>
        <v>16500</v>
      </c>
    </row>
    <row r="132" spans="1:12" x14ac:dyDescent="0.3">
      <c r="A132" s="263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08">
        <v>4505</v>
      </c>
      <c r="L132" s="3">
        <f t="shared" si="41"/>
        <v>2854</v>
      </c>
    </row>
    <row r="133" spans="1:12" x14ac:dyDescent="0.3">
      <c r="A133" s="262" t="s">
        <v>65</v>
      </c>
      <c r="B133" s="264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08">
        <v>792303</v>
      </c>
      <c r="L133" s="3">
        <f t="shared" si="41"/>
        <v>564855</v>
      </c>
    </row>
    <row r="134" spans="1:12" x14ac:dyDescent="0.3">
      <c r="A134" s="263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08">
        <v>154496</v>
      </c>
      <c r="L134" s="3">
        <f t="shared" si="41"/>
        <v>98831</v>
      </c>
    </row>
    <row r="135" spans="1:12" x14ac:dyDescent="0.3">
      <c r="A135" s="346" t="s">
        <v>78</v>
      </c>
      <c r="B135" s="347"/>
      <c r="C135" s="348"/>
      <c r="D135" s="122">
        <f>SUM(D120+D121+D130+D131+D132+D133+D134)</f>
        <v>8585356</v>
      </c>
      <c r="E135" s="122">
        <v>8602107</v>
      </c>
      <c r="F135" s="122">
        <f t="shared" ref="F135:L135" si="42">SUM(F120+F121+F130+F131+F132+F133+F134)</f>
        <v>0</v>
      </c>
      <c r="G135" s="122">
        <f t="shared" si="42"/>
        <v>0</v>
      </c>
      <c r="H135" s="122">
        <f t="shared" si="42"/>
        <v>0</v>
      </c>
      <c r="I135" s="122">
        <f t="shared" si="42"/>
        <v>0</v>
      </c>
      <c r="J135" s="122">
        <f t="shared" si="42"/>
        <v>8602107</v>
      </c>
      <c r="K135" s="124">
        <f t="shared" si="42"/>
        <v>4610347</v>
      </c>
      <c r="L135" s="122">
        <f t="shared" si="42"/>
        <v>3991760</v>
      </c>
    </row>
    <row r="136" spans="1:12" x14ac:dyDescent="0.3">
      <c r="A136" s="254" t="s">
        <v>14</v>
      </c>
      <c r="B136" s="261" t="s">
        <v>23</v>
      </c>
      <c r="C136" s="2" t="s">
        <v>24</v>
      </c>
      <c r="D136" s="3">
        <v>4756797</v>
      </c>
      <c r="E136" s="3">
        <v>4668070</v>
      </c>
      <c r="F136" s="3"/>
      <c r="G136" s="3"/>
      <c r="H136" s="3"/>
      <c r="I136" s="3"/>
      <c r="J136" s="20">
        <f t="shared" ref="J136:J142" si="43">E136+F136+G136+H136+I136</f>
        <v>4668070</v>
      </c>
      <c r="K136" s="108">
        <v>2581577</v>
      </c>
      <c r="L136" s="3">
        <f t="shared" ref="L136:L142" si="44">J136-K136</f>
        <v>2086493</v>
      </c>
    </row>
    <row r="137" spans="1:12" x14ac:dyDescent="0.3">
      <c r="A137" s="254"/>
      <c r="B137" s="261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08">
        <v>100000</v>
      </c>
      <c r="L137" s="3">
        <f t="shared" si="44"/>
        <v>100000</v>
      </c>
    </row>
    <row r="138" spans="1:12" x14ac:dyDescent="0.3">
      <c r="A138" s="254"/>
      <c r="B138" s="261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08">
        <v>0</v>
      </c>
      <c r="L138" s="3">
        <f t="shared" si="44"/>
        <v>10000</v>
      </c>
    </row>
    <row r="139" spans="1:12" x14ac:dyDescent="0.3">
      <c r="A139" s="254"/>
      <c r="B139" s="261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08">
        <v>111084</v>
      </c>
      <c r="L139" s="3">
        <f t="shared" si="44"/>
        <v>143916</v>
      </c>
    </row>
    <row r="140" spans="1:12" x14ac:dyDescent="0.3">
      <c r="A140" s="254"/>
      <c r="B140" s="261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08">
        <v>12000</v>
      </c>
      <c r="L140" s="3">
        <f t="shared" si="44"/>
        <v>12000</v>
      </c>
    </row>
    <row r="141" spans="1:12" x14ac:dyDescent="0.3">
      <c r="A141" s="254"/>
      <c r="B141" s="261"/>
      <c r="C141" s="2" t="s">
        <v>29</v>
      </c>
      <c r="D141" s="3">
        <v>0</v>
      </c>
      <c r="E141" s="3">
        <v>98307</v>
      </c>
      <c r="F141" s="3"/>
      <c r="G141" s="3"/>
      <c r="H141" s="3"/>
      <c r="I141" s="3"/>
      <c r="J141" s="20">
        <f t="shared" si="43"/>
        <v>98307</v>
      </c>
      <c r="K141" s="108">
        <v>98307</v>
      </c>
      <c r="L141" s="3">
        <f t="shared" si="44"/>
        <v>0</v>
      </c>
    </row>
    <row r="142" spans="1:12" x14ac:dyDescent="0.3">
      <c r="A142" s="254"/>
      <c r="B142" s="261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08">
        <v>0</v>
      </c>
      <c r="L142" s="3">
        <f t="shared" si="44"/>
        <v>0</v>
      </c>
    </row>
    <row r="143" spans="1:12" x14ac:dyDescent="0.3">
      <c r="A143" s="254"/>
      <c r="B143" s="261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0">
        <f t="shared" si="45"/>
        <v>2902968</v>
      </c>
      <c r="L143" s="7">
        <f t="shared" si="45"/>
        <v>2352409</v>
      </c>
    </row>
    <row r="144" spans="1:12" x14ac:dyDescent="0.3">
      <c r="A144" s="254"/>
      <c r="B144" s="261"/>
      <c r="C144" s="82" t="s">
        <v>31</v>
      </c>
      <c r="D144" s="83">
        <v>1025121</v>
      </c>
      <c r="E144" s="83">
        <v>1026989</v>
      </c>
      <c r="F144" s="83"/>
      <c r="G144" s="83"/>
      <c r="H144" s="83"/>
      <c r="I144" s="83"/>
      <c r="J144" s="84">
        <f t="shared" ref="J144:J152" si="46">E144+F144+G144+H144+I144</f>
        <v>1026989</v>
      </c>
      <c r="K144" s="111">
        <v>599284</v>
      </c>
      <c r="L144" s="85">
        <f t="shared" ref="L144:L152" si="47">J144-K144</f>
        <v>427705</v>
      </c>
    </row>
    <row r="145" spans="1:12" x14ac:dyDescent="0.3">
      <c r="A145" s="254"/>
      <c r="B145" s="261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08">
        <v>0</v>
      </c>
      <c r="L145" s="3">
        <f t="shared" si="47"/>
        <v>80000</v>
      </c>
    </row>
    <row r="146" spans="1:12" x14ac:dyDescent="0.3">
      <c r="A146" s="254"/>
      <c r="B146" s="261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08">
        <v>0</v>
      </c>
      <c r="L146" s="3">
        <f t="shared" si="47"/>
        <v>110000</v>
      </c>
    </row>
    <row r="147" spans="1:12" x14ac:dyDescent="0.3">
      <c r="A147" s="254"/>
      <c r="B147" s="261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08">
        <v>0</v>
      </c>
      <c r="L147" s="3">
        <f t="shared" si="47"/>
        <v>136000</v>
      </c>
    </row>
    <row r="148" spans="1:12" x14ac:dyDescent="0.3">
      <c r="A148" s="254"/>
      <c r="B148" s="261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08">
        <v>0</v>
      </c>
      <c r="L148" s="3">
        <f t="shared" si="47"/>
        <v>144000</v>
      </c>
    </row>
    <row r="149" spans="1:12" x14ac:dyDescent="0.3">
      <c r="A149" s="254"/>
      <c r="B149" s="261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08">
        <v>3400</v>
      </c>
      <c r="L149" s="3">
        <f t="shared" si="47"/>
        <v>13400</v>
      </c>
    </row>
    <row r="150" spans="1:12" x14ac:dyDescent="0.3">
      <c r="A150" s="254"/>
      <c r="B150" s="261"/>
      <c r="C150" s="2" t="s">
        <v>41</v>
      </c>
      <c r="D150" s="3">
        <v>40000</v>
      </c>
      <c r="E150" s="3">
        <v>60280</v>
      </c>
      <c r="F150" s="3"/>
      <c r="G150" s="3"/>
      <c r="H150" s="3"/>
      <c r="I150" s="3"/>
      <c r="J150" s="20">
        <f t="shared" si="46"/>
        <v>60280</v>
      </c>
      <c r="K150" s="108">
        <v>58160</v>
      </c>
      <c r="L150" s="3">
        <f t="shared" si="47"/>
        <v>2120</v>
      </c>
    </row>
    <row r="151" spans="1:12" x14ac:dyDescent="0.3">
      <c r="A151" s="254"/>
      <c r="B151" s="261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08">
        <v>62240</v>
      </c>
      <c r="L151" s="3">
        <f t="shared" si="47"/>
        <v>81480</v>
      </c>
    </row>
    <row r="152" spans="1:12" x14ac:dyDescent="0.3">
      <c r="A152" s="254"/>
      <c r="B152" s="261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08">
        <v>10304</v>
      </c>
      <c r="L152" s="3">
        <f t="shared" si="47"/>
        <v>131176</v>
      </c>
    </row>
    <row r="153" spans="1:12" x14ac:dyDescent="0.3">
      <c r="A153" s="254"/>
      <c r="B153" s="261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0">
        <f t="shared" si="48"/>
        <v>134104</v>
      </c>
      <c r="L153" s="7">
        <f t="shared" si="48"/>
        <v>698176</v>
      </c>
    </row>
    <row r="154" spans="1:12" x14ac:dyDescent="0.3">
      <c r="A154" s="262" t="s">
        <v>66</v>
      </c>
      <c r="B154" s="264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08">
        <v>474449</v>
      </c>
      <c r="L154" s="3">
        <f t="shared" ref="L154:L155" si="50">J154-K154</f>
        <v>358179</v>
      </c>
    </row>
    <row r="155" spans="1:12" x14ac:dyDescent="0.3">
      <c r="A155" s="263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08">
        <v>92517</v>
      </c>
      <c r="L155" s="3">
        <f t="shared" si="50"/>
        <v>62893</v>
      </c>
    </row>
    <row r="156" spans="1:12" x14ac:dyDescent="0.3">
      <c r="A156" s="346" t="s">
        <v>79</v>
      </c>
      <c r="B156" s="347"/>
      <c r="C156" s="348"/>
      <c r="D156" s="122">
        <f>SUM(D143+D144+D153+D154+D155)</f>
        <v>8091236</v>
      </c>
      <c r="E156" s="122">
        <v>8102684</v>
      </c>
      <c r="F156" s="122">
        <f t="shared" ref="F156:L156" si="51">SUM(F143+F144+F153+F154+F155)</f>
        <v>0</v>
      </c>
      <c r="G156" s="122">
        <f t="shared" si="51"/>
        <v>0</v>
      </c>
      <c r="H156" s="122">
        <f t="shared" si="51"/>
        <v>0</v>
      </c>
      <c r="I156" s="122">
        <f t="shared" si="51"/>
        <v>0</v>
      </c>
      <c r="J156" s="122">
        <f t="shared" si="51"/>
        <v>8102684</v>
      </c>
      <c r="K156" s="124">
        <f t="shared" si="51"/>
        <v>4203322</v>
      </c>
      <c r="L156" s="122">
        <f t="shared" si="51"/>
        <v>3899362</v>
      </c>
    </row>
    <row r="157" spans="1:12" x14ac:dyDescent="0.3">
      <c r="A157" s="254" t="s">
        <v>55</v>
      </c>
      <c r="B157" s="261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08">
        <v>2840996</v>
      </c>
      <c r="L157" s="3">
        <f t="shared" ref="L157:L162" si="53">J157-K157</f>
        <v>2214873</v>
      </c>
    </row>
    <row r="158" spans="1:12" x14ac:dyDescent="0.3">
      <c r="A158" s="254"/>
      <c r="B158" s="261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08">
        <v>212500</v>
      </c>
      <c r="L158" s="3">
        <f t="shared" si="53"/>
        <v>212500</v>
      </c>
    </row>
    <row r="159" spans="1:12" x14ac:dyDescent="0.3">
      <c r="A159" s="254"/>
      <c r="B159" s="261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08">
        <v>0</v>
      </c>
      <c r="L159" s="3">
        <f t="shared" si="53"/>
        <v>10000</v>
      </c>
    </row>
    <row r="160" spans="1:12" x14ac:dyDescent="0.3">
      <c r="A160" s="254"/>
      <c r="B160" s="261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08">
        <v>12000</v>
      </c>
      <c r="L160" s="3">
        <f t="shared" si="53"/>
        <v>12000</v>
      </c>
    </row>
    <row r="161" spans="1:12" x14ac:dyDescent="0.3">
      <c r="A161" s="254"/>
      <c r="B161" s="261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08">
        <v>0</v>
      </c>
      <c r="L161" s="3">
        <f t="shared" si="53"/>
        <v>75000</v>
      </c>
    </row>
    <row r="162" spans="1:12" x14ac:dyDescent="0.3">
      <c r="A162" s="254"/>
      <c r="B162" s="261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08">
        <v>0</v>
      </c>
      <c r="L162" s="3">
        <f t="shared" si="53"/>
        <v>0</v>
      </c>
    </row>
    <row r="163" spans="1:12" x14ac:dyDescent="0.3">
      <c r="A163" s="254"/>
      <c r="B163" s="261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0">
        <f t="shared" si="54"/>
        <v>3065496</v>
      </c>
      <c r="L163" s="7">
        <f t="shared" si="54"/>
        <v>2524373</v>
      </c>
    </row>
    <row r="164" spans="1:12" x14ac:dyDescent="0.3">
      <c r="A164" s="254"/>
      <c r="B164" s="261"/>
      <c r="C164" s="82" t="s">
        <v>31</v>
      </c>
      <c r="D164" s="83">
        <v>1124913</v>
      </c>
      <c r="E164" s="83">
        <v>1124913</v>
      </c>
      <c r="F164" s="83"/>
      <c r="G164" s="83"/>
      <c r="H164" s="83"/>
      <c r="I164" s="83"/>
      <c r="J164" s="84">
        <f t="shared" ref="J164:J173" si="55">E164+F164+G164+H164+I164</f>
        <v>1124913</v>
      </c>
      <c r="K164" s="111">
        <v>652635</v>
      </c>
      <c r="L164" s="85">
        <f t="shared" ref="L164:L173" si="56">J164-K164</f>
        <v>472278</v>
      </c>
    </row>
    <row r="165" spans="1:12" x14ac:dyDescent="0.3">
      <c r="A165" s="254"/>
      <c r="B165" s="261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08">
        <v>0</v>
      </c>
      <c r="L165" s="3">
        <f t="shared" si="56"/>
        <v>100000</v>
      </c>
    </row>
    <row r="166" spans="1:12" x14ac:dyDescent="0.3">
      <c r="A166" s="254"/>
      <c r="B166" s="261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08">
        <v>4536</v>
      </c>
      <c r="L166" s="3">
        <f t="shared" si="56"/>
        <v>95464</v>
      </c>
    </row>
    <row r="167" spans="1:12" x14ac:dyDescent="0.3">
      <c r="A167" s="254"/>
      <c r="B167" s="261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08">
        <v>0</v>
      </c>
      <c r="L167" s="3">
        <f t="shared" si="56"/>
        <v>100000</v>
      </c>
    </row>
    <row r="168" spans="1:12" x14ac:dyDescent="0.3">
      <c r="A168" s="254"/>
      <c r="B168" s="261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08">
        <v>0</v>
      </c>
      <c r="L168" s="3">
        <f t="shared" si="56"/>
        <v>50000</v>
      </c>
    </row>
    <row r="169" spans="1:12" x14ac:dyDescent="0.3">
      <c r="A169" s="254"/>
      <c r="B169" s="261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08">
        <v>26259</v>
      </c>
      <c r="L169" s="3">
        <f t="shared" si="56"/>
        <v>113741</v>
      </c>
    </row>
    <row r="170" spans="1:12" x14ac:dyDescent="0.3">
      <c r="A170" s="254"/>
      <c r="B170" s="261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08">
        <v>2950</v>
      </c>
      <c r="L170" s="3">
        <f t="shared" si="56"/>
        <v>12050</v>
      </c>
    </row>
    <row r="171" spans="1:12" x14ac:dyDescent="0.3">
      <c r="A171" s="254"/>
      <c r="B171" s="261"/>
      <c r="C171" s="10" t="s">
        <v>41</v>
      </c>
      <c r="D171" s="24">
        <v>80000</v>
      </c>
      <c r="E171" s="24">
        <v>80000</v>
      </c>
      <c r="F171" s="135">
        <v>14188</v>
      </c>
      <c r="G171" s="11"/>
      <c r="H171" s="11"/>
      <c r="I171" s="11"/>
      <c r="J171" s="20">
        <f t="shared" si="55"/>
        <v>94188</v>
      </c>
      <c r="K171" s="108">
        <v>92068</v>
      </c>
      <c r="L171" s="3">
        <f t="shared" si="56"/>
        <v>2120</v>
      </c>
    </row>
    <row r="172" spans="1:12" x14ac:dyDescent="0.3">
      <c r="A172" s="254"/>
      <c r="B172" s="261"/>
      <c r="C172" s="10" t="s">
        <v>42</v>
      </c>
      <c r="D172" s="24">
        <v>240000</v>
      </c>
      <c r="E172" s="24">
        <v>240000</v>
      </c>
      <c r="F172" s="135"/>
      <c r="G172" s="11"/>
      <c r="H172" s="11"/>
      <c r="I172" s="11"/>
      <c r="J172" s="20">
        <f t="shared" si="55"/>
        <v>240000</v>
      </c>
      <c r="K172" s="108">
        <v>169555</v>
      </c>
      <c r="L172" s="3">
        <f t="shared" si="56"/>
        <v>70445</v>
      </c>
    </row>
    <row r="173" spans="1:12" x14ac:dyDescent="0.3">
      <c r="A173" s="254"/>
      <c r="B173" s="261"/>
      <c r="C173" s="10" t="s">
        <v>44</v>
      </c>
      <c r="D173" s="24">
        <v>142900</v>
      </c>
      <c r="E173" s="24">
        <v>142900</v>
      </c>
      <c r="F173" s="135">
        <v>-14188</v>
      </c>
      <c r="G173" s="11"/>
      <c r="H173" s="11"/>
      <c r="I173" s="11"/>
      <c r="J173" s="20">
        <f t="shared" si="55"/>
        <v>128712</v>
      </c>
      <c r="K173" s="108">
        <v>20484</v>
      </c>
      <c r="L173" s="3">
        <f t="shared" si="56"/>
        <v>108228</v>
      </c>
    </row>
    <row r="174" spans="1:12" x14ac:dyDescent="0.3">
      <c r="A174" s="254"/>
      <c r="B174" s="261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0">
        <f t="shared" si="57"/>
        <v>315852</v>
      </c>
      <c r="L174" s="7">
        <f t="shared" si="57"/>
        <v>652048</v>
      </c>
    </row>
    <row r="175" spans="1:12" x14ac:dyDescent="0.3">
      <c r="A175" s="262" t="s">
        <v>67</v>
      </c>
      <c r="B175" s="264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08">
        <v>44900</v>
      </c>
      <c r="L175" s="3">
        <f t="shared" ref="L175:L191" si="59">J175-K175</f>
        <v>112300</v>
      </c>
    </row>
    <row r="176" spans="1:12" x14ac:dyDescent="0.3">
      <c r="A176" s="263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08">
        <v>8757</v>
      </c>
      <c r="L176" s="3">
        <f t="shared" si="59"/>
        <v>20456</v>
      </c>
    </row>
    <row r="177" spans="1:12" x14ac:dyDescent="0.3">
      <c r="A177" s="262" t="s">
        <v>75</v>
      </c>
      <c r="B177" s="264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08">
        <v>957042</v>
      </c>
      <c r="L177" s="3">
        <f t="shared" si="59"/>
        <v>647467</v>
      </c>
    </row>
    <row r="178" spans="1:12" x14ac:dyDescent="0.3">
      <c r="A178" s="263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08">
        <v>186625</v>
      </c>
      <c r="L178" s="3">
        <f t="shared" si="59"/>
        <v>112494</v>
      </c>
    </row>
    <row r="179" spans="1:12" x14ac:dyDescent="0.3">
      <c r="A179" s="345" t="s">
        <v>80</v>
      </c>
      <c r="B179" s="345"/>
      <c r="C179" s="345"/>
      <c r="D179" s="123">
        <f>SUM(D163+D164+D174+D175+D176+D177+D178)</f>
        <v>9772723</v>
      </c>
      <c r="E179" s="123">
        <v>9772723</v>
      </c>
      <c r="F179" s="123">
        <f t="shared" ref="F179:L179" si="60">SUM(F163+F164+F174+F175+F176+F177+F178)</f>
        <v>0</v>
      </c>
      <c r="G179" s="123">
        <f t="shared" si="60"/>
        <v>0</v>
      </c>
      <c r="H179" s="123">
        <f t="shared" si="60"/>
        <v>0</v>
      </c>
      <c r="I179" s="123">
        <f t="shared" si="60"/>
        <v>0</v>
      </c>
      <c r="J179" s="123">
        <f t="shared" si="60"/>
        <v>9772723</v>
      </c>
      <c r="K179" s="124">
        <f t="shared" si="60"/>
        <v>5231307</v>
      </c>
      <c r="L179" s="123">
        <f t="shared" si="60"/>
        <v>4541416</v>
      </c>
    </row>
    <row r="180" spans="1:12" x14ac:dyDescent="0.3">
      <c r="A180" s="254" t="s">
        <v>15</v>
      </c>
      <c r="B180" s="264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7992749</v>
      </c>
      <c r="L180" s="3">
        <f t="shared" si="59"/>
        <v>3151311</v>
      </c>
    </row>
    <row r="181" spans="1:12" x14ac:dyDescent="0.3">
      <c r="A181" s="254"/>
      <c r="B181" s="268"/>
      <c r="C181" s="43" t="s">
        <v>30</v>
      </c>
      <c r="D181" s="44">
        <v>0</v>
      </c>
      <c r="E181" s="44">
        <v>10500000</v>
      </c>
      <c r="F181" s="44">
        <v>-10500000</v>
      </c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3">
      <c r="A182" s="254"/>
      <c r="B182" s="268"/>
      <c r="C182" s="6" t="s">
        <v>53</v>
      </c>
      <c r="D182" s="7">
        <f>D180+D181</f>
        <v>11144060</v>
      </c>
      <c r="E182" s="7">
        <v>21644060</v>
      </c>
      <c r="F182" s="7">
        <f t="shared" ref="F182:L182" si="61">F180+F181</f>
        <v>-10500000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3">
        <f t="shared" si="61"/>
        <v>7992749</v>
      </c>
      <c r="L182" s="7">
        <f t="shared" si="61"/>
        <v>3151311</v>
      </c>
    </row>
    <row r="183" spans="1:12" x14ac:dyDescent="0.3">
      <c r="A183" s="254"/>
      <c r="B183" s="268"/>
      <c r="C183" s="82" t="s">
        <v>31</v>
      </c>
      <c r="D183" s="83">
        <v>2295657</v>
      </c>
      <c r="E183" s="83">
        <v>2295657</v>
      </c>
      <c r="F183" s="83">
        <v>4274550</v>
      </c>
      <c r="G183" s="83"/>
      <c r="H183" s="83"/>
      <c r="I183" s="83"/>
      <c r="J183" s="85">
        <f t="shared" si="58"/>
        <v>6570207</v>
      </c>
      <c r="K183" s="111">
        <v>4311407</v>
      </c>
      <c r="L183" s="85">
        <f t="shared" si="59"/>
        <v>2258800</v>
      </c>
    </row>
    <row r="184" spans="1:12" x14ac:dyDescent="0.3">
      <c r="A184" s="254"/>
      <c r="B184" s="268"/>
      <c r="C184" s="10" t="s">
        <v>33</v>
      </c>
      <c r="D184" s="3">
        <v>90000</v>
      </c>
      <c r="E184" s="3">
        <v>90000</v>
      </c>
      <c r="F184" s="3">
        <v>142959</v>
      </c>
      <c r="G184" s="3"/>
      <c r="H184" s="3"/>
      <c r="I184" s="3"/>
      <c r="J184" s="3">
        <f t="shared" si="58"/>
        <v>232959</v>
      </c>
      <c r="K184" s="108">
        <v>232959</v>
      </c>
      <c r="L184" s="3">
        <f t="shared" si="59"/>
        <v>0</v>
      </c>
    </row>
    <row r="185" spans="1:12" x14ac:dyDescent="0.3">
      <c r="A185" s="254"/>
      <c r="B185" s="268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08">
        <v>0</v>
      </c>
      <c r="L185" s="3">
        <f t="shared" si="59"/>
        <v>230000</v>
      </c>
    </row>
    <row r="186" spans="1:12" x14ac:dyDescent="0.3">
      <c r="A186" s="254"/>
      <c r="B186" s="268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08">
        <v>0</v>
      </c>
      <c r="L186" s="3">
        <f t="shared" si="59"/>
        <v>14850000</v>
      </c>
    </row>
    <row r="187" spans="1:12" x14ac:dyDescent="0.3">
      <c r="A187" s="254"/>
      <c r="B187" s="268"/>
      <c r="C187" s="10" t="s">
        <v>41</v>
      </c>
      <c r="D187" s="3">
        <v>25112271</v>
      </c>
      <c r="E187" s="3">
        <v>6344554</v>
      </c>
      <c r="F187" s="3">
        <f>10500000-4274550-142959</f>
        <v>6082491</v>
      </c>
      <c r="G187" s="3"/>
      <c r="H187" s="3"/>
      <c r="I187" s="3"/>
      <c r="J187" s="3">
        <f t="shared" si="58"/>
        <v>12427045</v>
      </c>
      <c r="K187" s="108">
        <v>5250010</v>
      </c>
      <c r="L187" s="3">
        <f t="shared" si="59"/>
        <v>7177035</v>
      </c>
    </row>
    <row r="188" spans="1:12" x14ac:dyDescent="0.3">
      <c r="A188" s="254"/>
      <c r="B188" s="268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08">
        <v>38298</v>
      </c>
      <c r="L188" s="3">
        <f t="shared" si="59"/>
        <v>191702</v>
      </c>
    </row>
    <row r="189" spans="1:12" x14ac:dyDescent="0.3">
      <c r="A189" s="254"/>
      <c r="B189" s="268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08">
        <v>0</v>
      </c>
      <c r="L189" s="3">
        <f t="shared" si="59"/>
        <v>230000</v>
      </c>
    </row>
    <row r="190" spans="1:12" x14ac:dyDescent="0.3">
      <c r="A190" s="254"/>
      <c r="B190" s="268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08">
        <v>1480399</v>
      </c>
      <c r="L190" s="3">
        <f t="shared" si="59"/>
        <v>1965148</v>
      </c>
    </row>
    <row r="191" spans="1:12" x14ac:dyDescent="0.3">
      <c r="A191" s="254"/>
      <c r="B191" s="268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08">
        <v>0</v>
      </c>
      <c r="L191" s="3">
        <f t="shared" si="59"/>
        <v>229990</v>
      </c>
    </row>
    <row r="192" spans="1:12" x14ac:dyDescent="0.3">
      <c r="A192" s="254"/>
      <c r="B192" s="268"/>
      <c r="C192" s="6" t="s">
        <v>49</v>
      </c>
      <c r="D192" s="7">
        <f>SUM(D184:D191)</f>
        <v>46650091</v>
      </c>
      <c r="E192" s="7">
        <v>25650091</v>
      </c>
      <c r="F192" s="7">
        <f t="shared" ref="F192:L192" si="62">SUM(F184:F191)</f>
        <v>6225450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0">
        <f t="shared" si="62"/>
        <v>7001666</v>
      </c>
      <c r="L192" s="7">
        <f t="shared" si="62"/>
        <v>24873875</v>
      </c>
    </row>
    <row r="193" spans="1:12" x14ac:dyDescent="0.3">
      <c r="A193" s="254"/>
      <c r="B193" s="268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08">
        <v>0</v>
      </c>
      <c r="L193" s="3">
        <f t="shared" ref="L193:L195" si="64">J193-K193</f>
        <v>0</v>
      </c>
    </row>
    <row r="194" spans="1:12" x14ac:dyDescent="0.3">
      <c r="A194" s="254"/>
      <c r="B194" s="268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08">
        <v>0</v>
      </c>
      <c r="L194" s="3">
        <f t="shared" si="64"/>
        <v>3740</v>
      </c>
    </row>
    <row r="195" spans="1:12" x14ac:dyDescent="0.3">
      <c r="A195" s="254"/>
      <c r="B195" s="268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08">
        <v>0</v>
      </c>
      <c r="L195" s="3">
        <f t="shared" si="64"/>
        <v>1010</v>
      </c>
    </row>
    <row r="196" spans="1:12" x14ac:dyDescent="0.3">
      <c r="A196" s="254"/>
      <c r="B196" s="268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0">
        <f t="shared" si="65"/>
        <v>0</v>
      </c>
      <c r="L196" s="7">
        <f t="shared" si="65"/>
        <v>4750</v>
      </c>
    </row>
    <row r="197" spans="1:12" x14ac:dyDescent="0.3">
      <c r="A197" s="254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08">
        <v>10500000</v>
      </c>
      <c r="L197" s="3">
        <f t="shared" ref="L197" si="67">J197-K197</f>
        <v>0</v>
      </c>
    </row>
    <row r="198" spans="1:12" x14ac:dyDescent="0.3">
      <c r="A198" s="346" t="s">
        <v>81</v>
      </c>
      <c r="B198" s="347"/>
      <c r="C198" s="348"/>
      <c r="D198" s="122">
        <f>SUM(D182+D183+D192+D196+D197)</f>
        <v>60094558</v>
      </c>
      <c r="E198" s="122">
        <v>60094558</v>
      </c>
      <c r="F198" s="122">
        <f t="shared" ref="F198:L198" si="68">SUM(F182+F183+F192+F196+F197)</f>
        <v>0</v>
      </c>
      <c r="G198" s="122">
        <f t="shared" si="68"/>
        <v>0</v>
      </c>
      <c r="H198" s="122">
        <f t="shared" si="68"/>
        <v>0</v>
      </c>
      <c r="I198" s="122">
        <f t="shared" si="68"/>
        <v>0</v>
      </c>
      <c r="J198" s="122">
        <f t="shared" si="68"/>
        <v>60094558</v>
      </c>
      <c r="K198" s="124">
        <f t="shared" si="68"/>
        <v>29805822</v>
      </c>
      <c r="L198" s="122">
        <f t="shared" si="68"/>
        <v>30288736</v>
      </c>
    </row>
    <row r="199" spans="1:12" x14ac:dyDescent="0.3">
      <c r="A199" s="285" t="s">
        <v>85</v>
      </c>
      <c r="B199" s="264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08">
        <v>5190289</v>
      </c>
      <c r="L199" s="3">
        <f t="shared" ref="L199:L204" si="70">J199-K199</f>
        <v>4472473</v>
      </c>
    </row>
    <row r="200" spans="1:12" x14ac:dyDescent="0.3">
      <c r="A200" s="285"/>
      <c r="B200" s="268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08">
        <v>200000</v>
      </c>
      <c r="L200" s="3">
        <f t="shared" si="70"/>
        <v>200000</v>
      </c>
    </row>
    <row r="201" spans="1:12" x14ac:dyDescent="0.3">
      <c r="A201" s="285"/>
      <c r="B201" s="268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08">
        <v>0</v>
      </c>
      <c r="L201" s="3">
        <f t="shared" si="70"/>
        <v>20000</v>
      </c>
    </row>
    <row r="202" spans="1:12" x14ac:dyDescent="0.3">
      <c r="A202" s="285"/>
      <c r="B202" s="268"/>
      <c r="C202" s="2" t="s">
        <v>27</v>
      </c>
      <c r="D202" s="3">
        <v>75000</v>
      </c>
      <c r="E202" s="3">
        <v>80202</v>
      </c>
      <c r="F202" s="3">
        <v>5814</v>
      </c>
      <c r="G202" s="3"/>
      <c r="H202" s="3"/>
      <c r="I202" s="3"/>
      <c r="J202" s="20">
        <f t="shared" si="69"/>
        <v>86016</v>
      </c>
      <c r="K202" s="108">
        <v>11016</v>
      </c>
      <c r="L202" s="3">
        <f t="shared" si="70"/>
        <v>75000</v>
      </c>
    </row>
    <row r="203" spans="1:12" x14ac:dyDescent="0.3">
      <c r="A203" s="285"/>
      <c r="B203" s="268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08">
        <v>24000</v>
      </c>
      <c r="L203" s="3">
        <f t="shared" si="70"/>
        <v>24000</v>
      </c>
    </row>
    <row r="204" spans="1:12" x14ac:dyDescent="0.3">
      <c r="A204" s="285"/>
      <c r="B204" s="268"/>
      <c r="C204" s="2" t="s">
        <v>29</v>
      </c>
      <c r="D204" s="3">
        <v>264000</v>
      </c>
      <c r="E204" s="3">
        <v>481403</v>
      </c>
      <c r="F204" s="3">
        <v>58303</v>
      </c>
      <c r="G204" s="3"/>
      <c r="H204" s="3"/>
      <c r="I204" s="3"/>
      <c r="J204" s="20">
        <f t="shared" si="69"/>
        <v>539706</v>
      </c>
      <c r="K204" s="108">
        <v>391066</v>
      </c>
      <c r="L204" s="3">
        <f t="shared" si="70"/>
        <v>148640</v>
      </c>
    </row>
    <row r="205" spans="1:12" x14ac:dyDescent="0.3">
      <c r="A205" s="285"/>
      <c r="B205" s="268"/>
      <c r="C205" s="26" t="s">
        <v>53</v>
      </c>
      <c r="D205" s="7">
        <f>SUM(D199:D204)</f>
        <v>10687165</v>
      </c>
      <c r="E205" s="7">
        <v>10692367</v>
      </c>
      <c r="F205" s="7">
        <f t="shared" ref="F205:L205" si="71">SUM(F199:F204)</f>
        <v>64117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10756484</v>
      </c>
      <c r="K205" s="110">
        <f t="shared" si="71"/>
        <v>5816371</v>
      </c>
      <c r="L205" s="7">
        <f t="shared" si="71"/>
        <v>4940113</v>
      </c>
    </row>
    <row r="206" spans="1:12" x14ac:dyDescent="0.3">
      <c r="A206" s="285"/>
      <c r="B206" s="268"/>
      <c r="C206" s="86" t="s">
        <v>31</v>
      </c>
      <c r="D206" s="87">
        <v>2120857</v>
      </c>
      <c r="E206" s="87">
        <v>2120857</v>
      </c>
      <c r="F206" s="88"/>
      <c r="G206" s="88"/>
      <c r="H206" s="88"/>
      <c r="I206" s="88"/>
      <c r="J206" s="84">
        <f t="shared" ref="J206:J213" si="72">E206+F206+G206+H206+I206</f>
        <v>2120857</v>
      </c>
      <c r="K206" s="111">
        <v>1177934</v>
      </c>
      <c r="L206" s="85">
        <f t="shared" ref="L206:L213" si="73">J206-K206</f>
        <v>942923</v>
      </c>
    </row>
    <row r="207" spans="1:12" x14ac:dyDescent="0.3">
      <c r="A207" s="285"/>
      <c r="B207" s="268"/>
      <c r="C207" s="99" t="s">
        <v>33</v>
      </c>
      <c r="D207" s="100">
        <v>0</v>
      </c>
      <c r="E207" s="100">
        <v>186928</v>
      </c>
      <c r="F207" s="100"/>
      <c r="G207" s="100"/>
      <c r="H207" s="100"/>
      <c r="I207" s="100"/>
      <c r="J207" s="20">
        <f t="shared" si="72"/>
        <v>186928</v>
      </c>
      <c r="K207" s="114">
        <v>30769</v>
      </c>
      <c r="L207" s="3">
        <f t="shared" si="73"/>
        <v>156159</v>
      </c>
    </row>
    <row r="208" spans="1:12" x14ac:dyDescent="0.3">
      <c r="A208" s="285"/>
      <c r="B208" s="268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4">
        <v>26240</v>
      </c>
      <c r="L208" s="3">
        <f t="shared" si="73"/>
        <v>146560</v>
      </c>
    </row>
    <row r="209" spans="1:12" x14ac:dyDescent="0.3">
      <c r="A209" s="285"/>
      <c r="B209" s="268"/>
      <c r="C209" s="98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4">
        <v>3500</v>
      </c>
      <c r="L209" s="3">
        <f t="shared" si="73"/>
        <v>0</v>
      </c>
    </row>
    <row r="210" spans="1:12" x14ac:dyDescent="0.3">
      <c r="A210" s="285"/>
      <c r="B210" s="268"/>
      <c r="C210" s="131" t="s">
        <v>41</v>
      </c>
      <c r="D210" s="47">
        <v>0</v>
      </c>
      <c r="E210" s="47">
        <v>1685</v>
      </c>
      <c r="F210" s="47"/>
      <c r="G210" s="47"/>
      <c r="H210" s="47"/>
      <c r="I210" s="47"/>
      <c r="J210" s="20">
        <f t="shared" si="72"/>
        <v>1685</v>
      </c>
      <c r="K210" s="114">
        <v>1685</v>
      </c>
      <c r="L210" s="3">
        <f t="shared" si="73"/>
        <v>0</v>
      </c>
    </row>
    <row r="211" spans="1:12" x14ac:dyDescent="0.3">
      <c r="A211" s="285"/>
      <c r="B211" s="268"/>
      <c r="C211" s="46" t="s">
        <v>42</v>
      </c>
      <c r="D211" s="47">
        <v>0</v>
      </c>
      <c r="E211" s="47">
        <v>71885</v>
      </c>
      <c r="F211" s="47">
        <v>5395</v>
      </c>
      <c r="G211" s="47"/>
      <c r="H211" s="47"/>
      <c r="I211" s="47"/>
      <c r="J211" s="20">
        <f t="shared" si="72"/>
        <v>77280</v>
      </c>
      <c r="K211" s="114">
        <v>77280</v>
      </c>
      <c r="L211" s="3">
        <f t="shared" si="73"/>
        <v>0</v>
      </c>
    </row>
    <row r="212" spans="1:12" x14ac:dyDescent="0.3">
      <c r="A212" s="285"/>
      <c r="B212" s="268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4">
        <v>36343</v>
      </c>
      <c r="L212" s="3">
        <f t="shared" si="73"/>
        <v>75213</v>
      </c>
    </row>
    <row r="213" spans="1:12" x14ac:dyDescent="0.3">
      <c r="A213" s="285"/>
      <c r="B213" s="268"/>
      <c r="C213" s="46" t="s">
        <v>45</v>
      </c>
      <c r="D213" s="47">
        <v>0</v>
      </c>
      <c r="E213" s="47">
        <v>276854</v>
      </c>
      <c r="F213" s="47">
        <v>26400</v>
      </c>
      <c r="G213" s="47"/>
      <c r="H213" s="47"/>
      <c r="I213" s="47"/>
      <c r="J213" s="20">
        <f t="shared" si="72"/>
        <v>303254</v>
      </c>
      <c r="K213" s="114">
        <v>210879</v>
      </c>
      <c r="L213" s="3">
        <f t="shared" si="73"/>
        <v>92375</v>
      </c>
    </row>
    <row r="214" spans="1:12" x14ac:dyDescent="0.3">
      <c r="A214" s="263"/>
      <c r="B214" s="265"/>
      <c r="C214" s="49" t="s">
        <v>49</v>
      </c>
      <c r="D214" s="50">
        <f>SUM(D207:D213)</f>
        <v>0</v>
      </c>
      <c r="E214" s="50">
        <v>825208</v>
      </c>
      <c r="F214" s="50">
        <f t="shared" ref="F214:L214" si="74">SUM(F207:F213)</f>
        <v>31795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857003</v>
      </c>
      <c r="K214" s="115">
        <f>SUM(K207:K213)</f>
        <v>386696</v>
      </c>
      <c r="L214" s="50">
        <f t="shared" si="74"/>
        <v>470307</v>
      </c>
    </row>
    <row r="215" spans="1:12" x14ac:dyDescent="0.3">
      <c r="A215" s="254" t="s">
        <v>68</v>
      </c>
      <c r="B215" s="279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08">
        <v>1454687</v>
      </c>
      <c r="L215" s="3">
        <f t="shared" ref="L215:L216" si="75">J215-K215</f>
        <v>1046869</v>
      </c>
    </row>
    <row r="216" spans="1:12" x14ac:dyDescent="0.3">
      <c r="A216" s="262"/>
      <c r="B216" s="280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08">
        <v>283661</v>
      </c>
      <c r="L216" s="3">
        <f t="shared" si="75"/>
        <v>182908</v>
      </c>
    </row>
    <row r="217" spans="1:12" x14ac:dyDescent="0.3">
      <c r="A217" s="346" t="s">
        <v>82</v>
      </c>
      <c r="B217" s="347"/>
      <c r="C217" s="348"/>
      <c r="D217" s="125">
        <f>SUM(D205+D206+D215+D216+D214)</f>
        <v>15776147</v>
      </c>
      <c r="E217" s="125">
        <v>16606557</v>
      </c>
      <c r="F217" s="125">
        <f t="shared" ref="F217:I217" si="77">SUM(F205+F206+F215+F216+F214)</f>
        <v>95912</v>
      </c>
      <c r="G217" s="125">
        <f t="shared" si="77"/>
        <v>0</v>
      </c>
      <c r="H217" s="125">
        <f t="shared" si="77"/>
        <v>0</v>
      </c>
      <c r="I217" s="125">
        <f t="shared" si="77"/>
        <v>0</v>
      </c>
      <c r="J217" s="125">
        <f>SUM(J205+J206+J215+J216+J214)</f>
        <v>16702469</v>
      </c>
      <c r="K217" s="126">
        <f>SUM(K205+K206+K215+K216+K214)</f>
        <v>9119349</v>
      </c>
      <c r="L217" s="127">
        <f>SUM(L205+L206+L215+L216+L214)</f>
        <v>7583120</v>
      </c>
    </row>
    <row r="218" spans="1:12" ht="30.75" customHeight="1" x14ac:dyDescent="0.3">
      <c r="A218" s="349" t="s">
        <v>74</v>
      </c>
      <c r="B218" s="350"/>
      <c r="C218" s="351"/>
      <c r="D218" s="128">
        <f t="shared" ref="D218:K218" si="78">SUM(D88+D113+D135+D156+D179+D198+D217)</f>
        <v>230443641</v>
      </c>
      <c r="E218" s="128">
        <f t="shared" si="78"/>
        <v>230521849</v>
      </c>
      <c r="F218" s="128">
        <f t="shared" si="78"/>
        <v>0</v>
      </c>
      <c r="G218" s="128">
        <f t="shared" si="78"/>
        <v>0</v>
      </c>
      <c r="H218" s="128">
        <f t="shared" si="78"/>
        <v>0</v>
      </c>
      <c r="I218" s="128">
        <f t="shared" si="78"/>
        <v>0</v>
      </c>
      <c r="J218" s="128">
        <f t="shared" si="78"/>
        <v>230521849</v>
      </c>
      <c r="K218" s="129">
        <f t="shared" si="78"/>
        <v>117755531</v>
      </c>
      <c r="L218" s="128">
        <f>SUM(L88+L113+L135+L156+L179+L198+L217)</f>
        <v>112766318</v>
      </c>
    </row>
    <row r="219" spans="1:12" x14ac:dyDescent="0.3">
      <c r="B219" s="5"/>
      <c r="E219" s="4"/>
      <c r="F219" s="4"/>
      <c r="G219" s="4"/>
      <c r="H219" s="4"/>
      <c r="I219" s="4"/>
      <c r="J219" s="4"/>
      <c r="K219" s="107"/>
    </row>
    <row r="220" spans="1:12" x14ac:dyDescent="0.3">
      <c r="B220" s="5"/>
      <c r="E220" s="4"/>
      <c r="F220" s="4"/>
      <c r="G220" s="4"/>
      <c r="H220" s="4"/>
      <c r="I220" s="4"/>
      <c r="J220" s="4"/>
      <c r="K220" s="107"/>
    </row>
    <row r="221" spans="1:12" x14ac:dyDescent="0.3">
      <c r="B221" s="5"/>
      <c r="E221" s="4"/>
      <c r="F221" s="4"/>
      <c r="G221" s="4"/>
      <c r="H221" s="4"/>
      <c r="I221" s="4"/>
      <c r="J221" s="4"/>
      <c r="K221" s="107"/>
    </row>
    <row r="222" spans="1:12" x14ac:dyDescent="0.3">
      <c r="B222" s="5"/>
      <c r="E222" s="4"/>
      <c r="F222" s="4"/>
      <c r="G222" s="4"/>
      <c r="H222" s="4"/>
      <c r="I222" s="4"/>
      <c r="J222" s="4"/>
      <c r="K222" s="107"/>
    </row>
    <row r="223" spans="1:12" x14ac:dyDescent="0.3">
      <c r="B223" s="5"/>
      <c r="E223" s="4"/>
      <c r="F223" s="4"/>
      <c r="G223" s="4"/>
      <c r="H223" s="4"/>
      <c r="I223" s="4"/>
      <c r="J223" s="4"/>
      <c r="K223" s="107"/>
    </row>
    <row r="224" spans="1:12" ht="15" thickBot="1" x14ac:dyDescent="0.35">
      <c r="B224" s="5"/>
      <c r="E224" s="4"/>
      <c r="F224" s="4"/>
      <c r="G224" s="130">
        <v>43677</v>
      </c>
      <c r="H224" s="4"/>
      <c r="I224" s="4"/>
      <c r="J224" s="4"/>
      <c r="K224" s="107"/>
    </row>
    <row r="225" spans="1:11" ht="15" thickTop="1" x14ac:dyDescent="0.3">
      <c r="A225" s="283" t="s">
        <v>83</v>
      </c>
      <c r="B225" s="283"/>
      <c r="C225" s="283"/>
      <c r="D225" s="283"/>
      <c r="E225" s="283"/>
      <c r="F225" s="283"/>
      <c r="G225" s="283"/>
      <c r="H225" s="283"/>
      <c r="I225" s="283"/>
      <c r="J225" s="283"/>
      <c r="K225" s="283"/>
    </row>
    <row r="226" spans="1:11" s="75" customFormat="1" ht="33.75" customHeight="1" x14ac:dyDescent="0.3">
      <c r="A226" s="323" t="s">
        <v>0</v>
      </c>
      <c r="B226" s="324"/>
      <c r="C226" s="71" t="s">
        <v>3</v>
      </c>
      <c r="D226" s="71" t="s">
        <v>4</v>
      </c>
      <c r="E226" s="73" t="s">
        <v>107</v>
      </c>
      <c r="F226" s="72" t="s">
        <v>70</v>
      </c>
      <c r="G226" s="105" t="s">
        <v>71</v>
      </c>
      <c r="H226" s="106" t="s">
        <v>71</v>
      </c>
      <c r="I226" s="73" t="s">
        <v>71</v>
      </c>
      <c r="J226" s="73" t="s">
        <v>111</v>
      </c>
      <c r="K226" s="74" t="s">
        <v>112</v>
      </c>
    </row>
    <row r="227" spans="1:11" x14ac:dyDescent="0.3">
      <c r="A227" s="325"/>
      <c r="B227" s="326"/>
      <c r="C227" s="33" t="s">
        <v>16</v>
      </c>
      <c r="D227" s="34">
        <f t="shared" ref="D227:K228" si="79">D5+D14+D16+D18+D20+D22</f>
        <v>117230959</v>
      </c>
      <c r="E227" s="34">
        <f t="shared" si="79"/>
        <v>117297167</v>
      </c>
      <c r="F227" s="34">
        <f t="shared" si="79"/>
        <v>0</v>
      </c>
      <c r="G227" s="34">
        <f t="shared" si="79"/>
        <v>0</v>
      </c>
      <c r="H227" s="34">
        <f t="shared" si="79"/>
        <v>0</v>
      </c>
      <c r="I227" s="34">
        <f t="shared" si="79"/>
        <v>0</v>
      </c>
      <c r="J227" s="34">
        <f t="shared" si="79"/>
        <v>117297167</v>
      </c>
      <c r="K227" s="34">
        <f t="shared" si="79"/>
        <v>56705805</v>
      </c>
    </row>
    <row r="228" spans="1:11" x14ac:dyDescent="0.3">
      <c r="A228" s="325"/>
      <c r="B228" s="326"/>
      <c r="C228" s="33" t="s">
        <v>17</v>
      </c>
      <c r="D228" s="34">
        <f t="shared" si="79"/>
        <v>16012810</v>
      </c>
      <c r="E228" s="34">
        <f t="shared" si="79"/>
        <v>16012810</v>
      </c>
      <c r="F228" s="34">
        <f t="shared" si="79"/>
        <v>0</v>
      </c>
      <c r="G228" s="34">
        <f t="shared" si="79"/>
        <v>0</v>
      </c>
      <c r="H228" s="34">
        <f t="shared" si="79"/>
        <v>0</v>
      </c>
      <c r="I228" s="34">
        <f t="shared" si="79"/>
        <v>0</v>
      </c>
      <c r="J228" s="34">
        <f t="shared" si="79"/>
        <v>16012810</v>
      </c>
      <c r="K228" s="34">
        <f t="shared" si="79"/>
        <v>16012810</v>
      </c>
    </row>
    <row r="229" spans="1:11" x14ac:dyDescent="0.3">
      <c r="A229" s="325"/>
      <c r="B229" s="326"/>
      <c r="C229" s="33" t="s">
        <v>18</v>
      </c>
      <c r="D229" s="34">
        <f t="shared" ref="D229:K231" si="80">D7</f>
        <v>96985672</v>
      </c>
      <c r="E229" s="34">
        <f t="shared" si="80"/>
        <v>96985672</v>
      </c>
      <c r="F229" s="34">
        <f t="shared" si="80"/>
        <v>0</v>
      </c>
      <c r="G229" s="34">
        <f t="shared" si="80"/>
        <v>0</v>
      </c>
      <c r="H229" s="34">
        <f t="shared" si="80"/>
        <v>0</v>
      </c>
      <c r="I229" s="34">
        <f t="shared" si="80"/>
        <v>0</v>
      </c>
      <c r="J229" s="34">
        <f t="shared" si="80"/>
        <v>96985672</v>
      </c>
      <c r="K229" s="34">
        <f t="shared" si="80"/>
        <v>57234396</v>
      </c>
    </row>
    <row r="230" spans="1:11" x14ac:dyDescent="0.3">
      <c r="A230" s="325"/>
      <c r="B230" s="326"/>
      <c r="C230" s="35" t="s">
        <v>22</v>
      </c>
      <c r="D230" s="34">
        <f t="shared" si="80"/>
        <v>200000</v>
      </c>
      <c r="E230" s="34">
        <f t="shared" si="80"/>
        <v>200000</v>
      </c>
      <c r="F230" s="34">
        <f t="shared" si="80"/>
        <v>0</v>
      </c>
      <c r="G230" s="34">
        <f t="shared" si="80"/>
        <v>0</v>
      </c>
      <c r="H230" s="34">
        <f t="shared" si="80"/>
        <v>0</v>
      </c>
      <c r="I230" s="34">
        <f t="shared" si="80"/>
        <v>0</v>
      </c>
      <c r="J230" s="34">
        <f t="shared" si="80"/>
        <v>200000</v>
      </c>
      <c r="K230" s="34">
        <f t="shared" si="80"/>
        <v>0</v>
      </c>
    </row>
    <row r="231" spans="1:11" x14ac:dyDescent="0.3">
      <c r="A231" s="325"/>
      <c r="B231" s="326"/>
      <c r="C231" s="35" t="s">
        <v>19</v>
      </c>
      <c r="D231" s="34">
        <f t="shared" si="80"/>
        <v>13200</v>
      </c>
      <c r="E231" s="34">
        <f t="shared" si="80"/>
        <v>16540</v>
      </c>
      <c r="F231" s="34">
        <f t="shared" si="80"/>
        <v>0</v>
      </c>
      <c r="G231" s="34">
        <f t="shared" si="80"/>
        <v>0</v>
      </c>
      <c r="H231" s="34">
        <f t="shared" si="80"/>
        <v>0</v>
      </c>
      <c r="I231" s="34">
        <f t="shared" si="80"/>
        <v>0</v>
      </c>
      <c r="J231" s="34">
        <f t="shared" si="80"/>
        <v>16540</v>
      </c>
      <c r="K231" s="34">
        <f t="shared" si="80"/>
        <v>16059</v>
      </c>
    </row>
    <row r="232" spans="1:11" x14ac:dyDescent="0.3">
      <c r="A232" s="325"/>
      <c r="B232" s="326"/>
      <c r="C232" s="35" t="s">
        <v>84</v>
      </c>
      <c r="D232" s="34">
        <f>D13+D11</f>
        <v>0</v>
      </c>
      <c r="E232" s="34">
        <f>E13+E11</f>
        <v>9239</v>
      </c>
      <c r="F232" s="34">
        <f t="shared" ref="F232:K232" si="81">F13+F11</f>
        <v>0</v>
      </c>
      <c r="G232" s="34">
        <f t="shared" si="81"/>
        <v>0</v>
      </c>
      <c r="H232" s="34">
        <f t="shared" si="81"/>
        <v>0</v>
      </c>
      <c r="I232" s="34">
        <f t="shared" si="81"/>
        <v>0</v>
      </c>
      <c r="J232" s="34">
        <f>J13+J11</f>
        <v>9239</v>
      </c>
      <c r="K232" s="34">
        <f t="shared" si="81"/>
        <v>3235</v>
      </c>
    </row>
    <row r="233" spans="1:11" x14ac:dyDescent="0.3">
      <c r="A233" s="325"/>
      <c r="B233" s="326"/>
      <c r="C233" s="33" t="s">
        <v>20</v>
      </c>
      <c r="D233" s="34">
        <f>D10+D12</f>
        <v>1000</v>
      </c>
      <c r="E233" s="34">
        <f>E10+E12</f>
        <v>421</v>
      </c>
      <c r="F233" s="34">
        <f t="shared" ref="F233:K233" si="82">F10+F12</f>
        <v>0</v>
      </c>
      <c r="G233" s="34">
        <f t="shared" si="82"/>
        <v>0</v>
      </c>
      <c r="H233" s="34">
        <f t="shared" si="82"/>
        <v>0</v>
      </c>
      <c r="I233" s="34">
        <f t="shared" si="82"/>
        <v>0</v>
      </c>
      <c r="J233" s="34">
        <f t="shared" si="82"/>
        <v>421</v>
      </c>
      <c r="K233" s="34">
        <f t="shared" si="82"/>
        <v>263</v>
      </c>
    </row>
    <row r="234" spans="1:11" x14ac:dyDescent="0.3">
      <c r="A234" s="325"/>
      <c r="B234" s="326"/>
      <c r="C234" s="63" t="s">
        <v>86</v>
      </c>
      <c r="D234" s="64">
        <f>D13+D12+D11+D10+D9</f>
        <v>14200</v>
      </c>
      <c r="E234" s="64">
        <f>E13+E12+E11+E10+E9</f>
        <v>26200</v>
      </c>
      <c r="F234" s="64">
        <f t="shared" ref="F234:K234" si="83">F13+F12+F11+F10+F9</f>
        <v>0</v>
      </c>
      <c r="G234" s="64">
        <f t="shared" si="83"/>
        <v>0</v>
      </c>
      <c r="H234" s="64">
        <f t="shared" si="83"/>
        <v>0</v>
      </c>
      <c r="I234" s="64">
        <f t="shared" si="83"/>
        <v>0</v>
      </c>
      <c r="J234" s="64">
        <f t="shared" si="83"/>
        <v>26200</v>
      </c>
      <c r="K234" s="64">
        <f t="shared" si="83"/>
        <v>19557</v>
      </c>
    </row>
    <row r="235" spans="1:11" x14ac:dyDescent="0.3">
      <c r="A235" s="325"/>
      <c r="B235" s="326"/>
      <c r="C235" s="63" t="s">
        <v>87</v>
      </c>
      <c r="D235" s="64">
        <f>D23+D21+D19+D17+D15+D7+D6</f>
        <v>112998482</v>
      </c>
      <c r="E235" s="64">
        <f>E23+E21+E19+E17+E15+E7+E6</f>
        <v>112998482</v>
      </c>
      <c r="F235" s="64">
        <f t="shared" ref="F235:K235" si="84">F23+F21+F19+F17+F15+F7+F6</f>
        <v>0</v>
      </c>
      <c r="G235" s="64">
        <f t="shared" si="84"/>
        <v>0</v>
      </c>
      <c r="H235" s="64">
        <f t="shared" si="84"/>
        <v>0</v>
      </c>
      <c r="I235" s="64">
        <f t="shared" si="84"/>
        <v>0</v>
      </c>
      <c r="J235" s="64">
        <f t="shared" si="84"/>
        <v>112998482</v>
      </c>
      <c r="K235" s="64">
        <f t="shared" si="84"/>
        <v>73247206</v>
      </c>
    </row>
    <row r="236" spans="1:11" x14ac:dyDescent="0.3">
      <c r="A236" s="325"/>
      <c r="B236" s="326"/>
      <c r="C236" s="63" t="s">
        <v>94</v>
      </c>
      <c r="D236" s="64">
        <f>D24</f>
        <v>230443641</v>
      </c>
      <c r="E236" s="64">
        <f>E24</f>
        <v>230521849</v>
      </c>
      <c r="F236" s="64">
        <f t="shared" ref="F236:K236" si="85">F24</f>
        <v>0</v>
      </c>
      <c r="G236" s="64">
        <f t="shared" si="85"/>
        <v>0</v>
      </c>
      <c r="H236" s="64">
        <f t="shared" si="85"/>
        <v>0</v>
      </c>
      <c r="I236" s="64">
        <f t="shared" si="85"/>
        <v>0</v>
      </c>
      <c r="J236" s="64">
        <f t="shared" si="85"/>
        <v>230521849</v>
      </c>
      <c r="K236" s="64">
        <f t="shared" si="85"/>
        <v>129972568</v>
      </c>
    </row>
    <row r="237" spans="1:11" x14ac:dyDescent="0.3">
      <c r="A237" s="325"/>
      <c r="B237" s="326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127876501</v>
      </c>
      <c r="F237" s="34">
        <f>F89+F111+F114+F133+F136+F154+F157+F177+F199+F215+F180+F86+F84+F52+F25</f>
        <v>-213541</v>
      </c>
      <c r="G237" s="34">
        <f t="shared" ref="G237:I237" si="86">G89+G111+G114+G133+G136+G154+G157+G177+G199+G215+G180+G86+G84+G52+G25</f>
        <v>0</v>
      </c>
      <c r="H237" s="34">
        <f t="shared" si="86"/>
        <v>0</v>
      </c>
      <c r="I237" s="34">
        <f t="shared" si="86"/>
        <v>0</v>
      </c>
      <c r="J237" s="34">
        <f>J89+J111+J114+J133+J136+J154+J157+J177+J199+J215+J180+J86+J84+J52+J25</f>
        <v>127662960</v>
      </c>
      <c r="K237" s="34">
        <f>K215+K199+K180+K177+K157+K154+K136+K133+K114+K111+K89+K86+K84+K52+K25</f>
        <v>70626458</v>
      </c>
    </row>
    <row r="238" spans="1:11" x14ac:dyDescent="0.3">
      <c r="A238" s="325"/>
      <c r="B238" s="326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1116546</v>
      </c>
    </row>
    <row r="239" spans="1:11" x14ac:dyDescent="0.3">
      <c r="A239" s="325"/>
      <c r="B239" s="326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3">
      <c r="A240" s="325"/>
      <c r="B240" s="326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1" x14ac:dyDescent="0.3">
      <c r="A241" s="325"/>
      <c r="B241" s="326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1" x14ac:dyDescent="0.3">
      <c r="A242" s="325"/>
      <c r="B242" s="326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689790</v>
      </c>
    </row>
    <row r="243" spans="1:11" x14ac:dyDescent="0.3">
      <c r="A243" s="325"/>
      <c r="B243" s="326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1" x14ac:dyDescent="0.3">
      <c r="A244" s="325"/>
      <c r="B244" s="326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3986447</v>
      </c>
      <c r="F244" s="34">
        <f>F204+F175+F161+F141+F118+F109+F94+F82+F80+F59+F30+F131</f>
        <v>213541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4199988</v>
      </c>
      <c r="K244" s="34">
        <f>K204+K175+K161+K141+K118+K109+K94+K82+K80+K59+K30+K131</f>
        <v>1985438</v>
      </c>
    </row>
    <row r="245" spans="1:11" x14ac:dyDescent="0.3">
      <c r="A245" s="325"/>
      <c r="B245" s="326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10700000</v>
      </c>
      <c r="F245" s="34">
        <f t="shared" si="92"/>
        <v>-10500000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1" x14ac:dyDescent="0.3">
      <c r="A246" s="325"/>
      <c r="B246" s="326"/>
      <c r="C246" s="63" t="s">
        <v>53</v>
      </c>
      <c r="D246" s="64">
        <f>D205+D182+D163+D143+D215+D177+D154+D133+D131+D175+D120+D111+D109+D96+D86+D84+D82+D80+D61+D32</f>
        <v>140382424</v>
      </c>
      <c r="E246" s="64">
        <f t="shared" ref="E246:K246" si="93">E205+E182+E163+E143+E215+E177+E154+E133+E131+E175+E120+E111+E109+E96+E86+E84+E82+E80+E61+E32</f>
        <v>150937828</v>
      </c>
      <c r="F246" s="64">
        <f t="shared" si="93"/>
        <v>-10500000</v>
      </c>
      <c r="G246" s="64">
        <f t="shared" si="93"/>
        <v>0</v>
      </c>
      <c r="H246" s="64">
        <f t="shared" si="93"/>
        <v>0</v>
      </c>
      <c r="I246" s="64">
        <f t="shared" si="93"/>
        <v>0</v>
      </c>
      <c r="J246" s="64">
        <f t="shared" si="93"/>
        <v>140437828</v>
      </c>
      <c r="K246" s="64">
        <f t="shared" si="93"/>
        <v>76555536</v>
      </c>
    </row>
    <row r="247" spans="1:11" x14ac:dyDescent="0.3">
      <c r="A247" s="325"/>
      <c r="B247" s="326"/>
      <c r="C247" s="65" t="s">
        <v>31</v>
      </c>
      <c r="D247" s="64">
        <f>D206+D183+D178+D176+D216+D164+D155+D144+D134+D132+D121+D112+D110+D97+D87+D85+D83+D81+D62+D33</f>
        <v>27536677</v>
      </c>
      <c r="E247" s="64">
        <f>E206+E183+E178+E176+E216+E164+E155+E144+E134+E132+E121+E112+E110+E97+E87+E85+E83+E81+E62+E33</f>
        <v>27547481</v>
      </c>
      <c r="F247" s="64">
        <f t="shared" ref="F247:K247" si="94">F206+F183+F178+F176+F216+F164+F155+F144+F134+F132+F121+F112+F110+F97+F87+F85+F83+F81+F62+F33</f>
        <v>4274550</v>
      </c>
      <c r="G247" s="64">
        <f t="shared" si="94"/>
        <v>0</v>
      </c>
      <c r="H247" s="64">
        <f t="shared" si="94"/>
        <v>0</v>
      </c>
      <c r="I247" s="64">
        <f t="shared" si="94"/>
        <v>0</v>
      </c>
      <c r="J247" s="64">
        <f t="shared" si="94"/>
        <v>31822031</v>
      </c>
      <c r="K247" s="64">
        <f t="shared" si="94"/>
        <v>18569013</v>
      </c>
    </row>
    <row r="248" spans="1:11" x14ac:dyDescent="0.3">
      <c r="A248" s="325"/>
      <c r="B248" s="326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0</v>
      </c>
      <c r="G248" s="34">
        <f t="shared" si="95"/>
        <v>0</v>
      </c>
      <c r="H248" s="34">
        <f t="shared" si="95"/>
        <v>0</v>
      </c>
      <c r="I248" s="34">
        <f t="shared" si="95"/>
        <v>0</v>
      </c>
      <c r="J248" s="34">
        <f t="shared" si="95"/>
        <v>540000</v>
      </c>
      <c r="K248" s="34">
        <f t="shared" si="95"/>
        <v>49638</v>
      </c>
    </row>
    <row r="249" spans="1:11" x14ac:dyDescent="0.3">
      <c r="A249" s="325"/>
      <c r="B249" s="326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1886928</v>
      </c>
      <c r="F249" s="34">
        <f t="shared" si="96"/>
        <v>142959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2029887</v>
      </c>
      <c r="K249" s="34">
        <f t="shared" si="96"/>
        <v>285180</v>
      </c>
    </row>
    <row r="250" spans="1:11" x14ac:dyDescent="0.3">
      <c r="A250" s="325"/>
      <c r="B250" s="326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141986</v>
      </c>
    </row>
    <row r="251" spans="1:11" x14ac:dyDescent="0.3">
      <c r="A251" s="325"/>
      <c r="B251" s="326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128913</v>
      </c>
    </row>
    <row r="252" spans="1:11" x14ac:dyDescent="0.3">
      <c r="A252" s="325"/>
      <c r="B252" s="326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99">F102+F67+F38</f>
        <v>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1739080</v>
      </c>
      <c r="K252" s="34">
        <f t="shared" si="99"/>
        <v>1102554</v>
      </c>
    </row>
    <row r="253" spans="1:11" x14ac:dyDescent="0.3">
      <c r="A253" s="325"/>
      <c r="B253" s="326"/>
      <c r="C253" s="38" t="s">
        <v>37</v>
      </c>
      <c r="D253" s="34">
        <f>D185+D68+D39</f>
        <v>356000</v>
      </c>
      <c r="E253" s="34">
        <f>E185+E68+E39</f>
        <v>356000</v>
      </c>
      <c r="F253" s="34">
        <f t="shared" ref="F253:J253" si="100">F185+F68+F39</f>
        <v>0</v>
      </c>
      <c r="G253" s="34">
        <f t="shared" si="100"/>
        <v>0</v>
      </c>
      <c r="H253" s="34">
        <f t="shared" si="100"/>
        <v>0</v>
      </c>
      <c r="I253" s="34">
        <f t="shared" si="100"/>
        <v>0</v>
      </c>
      <c r="J253" s="34">
        <f t="shared" si="100"/>
        <v>356000</v>
      </c>
      <c r="K253" s="34">
        <f>K185+K68+K39</f>
        <v>0</v>
      </c>
    </row>
    <row r="254" spans="1:11" x14ac:dyDescent="0.3">
      <c r="A254" s="325"/>
      <c r="B254" s="326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1">F169+F148+F125+F103+F69+F40+F209</f>
        <v>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34">
        <f t="shared" si="101"/>
        <v>1394000</v>
      </c>
      <c r="K254" s="34">
        <f t="shared" si="101"/>
        <v>285812</v>
      </c>
    </row>
    <row r="255" spans="1:11" x14ac:dyDescent="0.3">
      <c r="A255" s="325"/>
      <c r="B255" s="326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2">F41</f>
        <v>0</v>
      </c>
      <c r="G255" s="34">
        <f t="shared" si="102"/>
        <v>0</v>
      </c>
      <c r="H255" s="34">
        <f t="shared" si="102"/>
        <v>0</v>
      </c>
      <c r="I255" s="34">
        <f t="shared" si="102"/>
        <v>0</v>
      </c>
      <c r="J255" s="34">
        <f t="shared" si="102"/>
        <v>16540</v>
      </c>
      <c r="K255" s="34">
        <f t="shared" si="102"/>
        <v>16059</v>
      </c>
    </row>
    <row r="256" spans="1:11" x14ac:dyDescent="0.3">
      <c r="A256" s="325"/>
      <c r="B256" s="326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16415104</v>
      </c>
      <c r="F256" s="34">
        <f t="shared" si="103"/>
        <v>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34">
        <f t="shared" si="103"/>
        <v>16415104</v>
      </c>
      <c r="K256" s="34">
        <f t="shared" si="103"/>
        <v>437502</v>
      </c>
    </row>
    <row r="257" spans="1:11" x14ac:dyDescent="0.3">
      <c r="A257" s="325"/>
      <c r="B257" s="326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8171246</v>
      </c>
      <c r="F257" s="34">
        <f t="shared" si="104"/>
        <v>6101839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34">
        <f t="shared" si="104"/>
        <v>14273085</v>
      </c>
      <c r="K257" s="34">
        <f t="shared" si="104"/>
        <v>6504391</v>
      </c>
    </row>
    <row r="258" spans="1:11" x14ac:dyDescent="0.3">
      <c r="A258" s="325"/>
      <c r="B258" s="326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5">F211+F188+F172+F151+F128+F106+F72+F44</f>
        <v>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2839440</v>
      </c>
      <c r="K258" s="34">
        <f t="shared" si="105"/>
        <v>1013013</v>
      </c>
    </row>
    <row r="259" spans="1:11" x14ac:dyDescent="0.3">
      <c r="A259" s="325"/>
      <c r="B259" s="326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3">
      <c r="A260" s="325"/>
      <c r="B260" s="326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7">F212+F190+F173+F152+F129+F107+F74+F46</f>
        <v>-19348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1906822</v>
      </c>
    </row>
    <row r="261" spans="1:11" x14ac:dyDescent="0.3">
      <c r="A261" s="325"/>
      <c r="B261" s="326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259112</v>
      </c>
    </row>
    <row r="262" spans="1:11" x14ac:dyDescent="0.3">
      <c r="A262" s="325"/>
      <c r="B262" s="326"/>
      <c r="C262" s="63" t="s">
        <v>49</v>
      </c>
      <c r="D262" s="64">
        <f>D214+D192+D174+D153+D130+D108+D76+D48</f>
        <v>62319790</v>
      </c>
      <c r="E262" s="64">
        <f>E214+E192+E174+E153+E130+E108+E76+E48</f>
        <v>41331790</v>
      </c>
      <c r="F262" s="64">
        <f t="shared" ref="F262:K262" si="109">F214+F192+F174+F153+F130+F108+F76+F48</f>
        <v>6225450</v>
      </c>
      <c r="G262" s="64">
        <f t="shared" si="109"/>
        <v>0</v>
      </c>
      <c r="H262" s="64">
        <f t="shared" si="109"/>
        <v>0</v>
      </c>
      <c r="I262" s="64">
        <f t="shared" si="109"/>
        <v>0</v>
      </c>
      <c r="J262" s="64">
        <f t="shared" si="109"/>
        <v>47557240</v>
      </c>
      <c r="K262" s="64">
        <f t="shared" si="109"/>
        <v>12130982</v>
      </c>
    </row>
    <row r="263" spans="1:11" x14ac:dyDescent="0.3">
      <c r="A263" s="325"/>
      <c r="B263" s="326"/>
      <c r="C263" s="63" t="s">
        <v>100</v>
      </c>
      <c r="D263" s="64">
        <f>D197</f>
        <v>0</v>
      </c>
      <c r="E263" s="64">
        <f t="shared" ref="E263:K263" si="110">E197</f>
        <v>10500000</v>
      </c>
      <c r="F263" s="64">
        <f t="shared" si="110"/>
        <v>0</v>
      </c>
      <c r="G263" s="64">
        <f t="shared" si="110"/>
        <v>0</v>
      </c>
      <c r="H263" s="64">
        <f t="shared" si="110"/>
        <v>0</v>
      </c>
      <c r="I263" s="64">
        <f t="shared" si="110"/>
        <v>0</v>
      </c>
      <c r="J263" s="64">
        <f t="shared" si="110"/>
        <v>10500000</v>
      </c>
      <c r="K263" s="64">
        <f t="shared" si="110"/>
        <v>10500000</v>
      </c>
    </row>
    <row r="264" spans="1:11" x14ac:dyDescent="0.3">
      <c r="A264" s="325"/>
      <c r="B264" s="326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3">
      <c r="A265" s="325"/>
      <c r="B265" s="326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3">
      <c r="A266" s="325"/>
      <c r="B266" s="326"/>
      <c r="C266" s="63" t="s">
        <v>52</v>
      </c>
      <c r="D266" s="66">
        <f t="shared" si="111"/>
        <v>204750</v>
      </c>
      <c r="E266" s="66">
        <f t="shared" si="111"/>
        <v>204750</v>
      </c>
      <c r="F266" s="66">
        <f t="shared" si="111"/>
        <v>0</v>
      </c>
      <c r="G266" s="66">
        <f t="shared" si="111"/>
        <v>0</v>
      </c>
      <c r="H266" s="66">
        <f t="shared" si="111"/>
        <v>0</v>
      </c>
      <c r="I266" s="66">
        <f t="shared" si="111"/>
        <v>0</v>
      </c>
      <c r="J266" s="66">
        <f t="shared" si="111"/>
        <v>204750</v>
      </c>
      <c r="K266" s="64">
        <f t="shared" si="111"/>
        <v>0</v>
      </c>
    </row>
    <row r="267" spans="1:11" x14ac:dyDescent="0.3">
      <c r="A267" s="327"/>
      <c r="B267" s="328"/>
      <c r="C267" s="67" t="s">
        <v>88</v>
      </c>
      <c r="D267" s="68">
        <f>D218</f>
        <v>230443641</v>
      </c>
      <c r="E267" s="68">
        <f>E218</f>
        <v>230521849</v>
      </c>
      <c r="F267" s="68">
        <f t="shared" ref="F267:K267" si="112">F218</f>
        <v>0</v>
      </c>
      <c r="G267" s="68">
        <f t="shared" si="112"/>
        <v>0</v>
      </c>
      <c r="H267" s="68">
        <f t="shared" si="112"/>
        <v>0</v>
      </c>
      <c r="I267" s="68">
        <f t="shared" si="112"/>
        <v>0</v>
      </c>
      <c r="J267" s="68">
        <f t="shared" si="112"/>
        <v>230521849</v>
      </c>
      <c r="K267" s="68">
        <f t="shared" si="112"/>
        <v>117755531</v>
      </c>
    </row>
    <row r="268" spans="1:11" x14ac:dyDescent="0.3">
      <c r="B268" s="5"/>
      <c r="E268" s="4"/>
      <c r="F268" s="4"/>
      <c r="G268" s="4"/>
      <c r="H268" s="4"/>
      <c r="I268" s="4"/>
      <c r="J268" s="4"/>
      <c r="K268" s="107"/>
    </row>
    <row r="269" spans="1:11" x14ac:dyDescent="0.3">
      <c r="B269" s="5"/>
      <c r="E269" s="4"/>
      <c r="F269" s="4"/>
      <c r="G269" s="4"/>
      <c r="H269" s="4"/>
      <c r="I269" s="4"/>
      <c r="J269" s="4"/>
      <c r="K269" s="107"/>
    </row>
  </sheetData>
  <mergeCells count="74"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69"/>
  <sheetViews>
    <sheetView workbookViewId="0">
      <pane xSplit="2" ySplit="4" topLeftCell="C5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42.6640625" customWidth="1"/>
    <col min="3" max="3" width="7.6640625" customWidth="1"/>
    <col min="4" max="5" width="13.6640625" customWidth="1"/>
    <col min="6" max="6" width="10.33203125" customWidth="1"/>
    <col min="7" max="7" width="11.6640625" customWidth="1"/>
    <col min="8" max="9" width="10.33203125" bestFit="1" customWidth="1"/>
    <col min="10" max="10" width="13.88671875" bestFit="1" customWidth="1"/>
    <col min="11" max="11" width="16.44140625" style="118" customWidth="1"/>
    <col min="12" max="12" width="13.88671875" customWidth="1"/>
  </cols>
  <sheetData>
    <row r="1" spans="1:12" ht="21" x14ac:dyDescent="0.3">
      <c r="A1" s="364" t="s">
        <v>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</row>
    <row r="2" spans="1:12" x14ac:dyDescent="0.3">
      <c r="B2" s="5"/>
      <c r="E2" s="4"/>
      <c r="F2" s="4"/>
      <c r="G2" s="4"/>
      <c r="H2" s="4"/>
      <c r="I2" s="4"/>
      <c r="J2" s="4"/>
      <c r="K2" s="107"/>
    </row>
    <row r="3" spans="1:12" ht="15" customHeight="1" x14ac:dyDescent="0.3">
      <c r="A3" s="353" t="s">
        <v>104</v>
      </c>
      <c r="B3" s="355" t="s">
        <v>105</v>
      </c>
      <c r="C3" s="353" t="s">
        <v>3</v>
      </c>
      <c r="D3" s="353" t="s">
        <v>4</v>
      </c>
      <c r="E3" s="357" t="s">
        <v>111</v>
      </c>
      <c r="F3" s="359" t="s">
        <v>114</v>
      </c>
      <c r="G3" s="360"/>
      <c r="H3" s="360"/>
      <c r="I3" s="361"/>
      <c r="J3" s="357" t="s">
        <v>115</v>
      </c>
      <c r="K3" s="362" t="s">
        <v>116</v>
      </c>
      <c r="L3" s="363" t="s">
        <v>117</v>
      </c>
    </row>
    <row r="4" spans="1:12" ht="26.4" x14ac:dyDescent="0.3">
      <c r="A4" s="354"/>
      <c r="B4" s="356"/>
      <c r="C4" s="354"/>
      <c r="D4" s="354"/>
      <c r="E4" s="358"/>
      <c r="F4" s="120" t="s">
        <v>70</v>
      </c>
      <c r="G4" s="121" t="s">
        <v>71</v>
      </c>
      <c r="H4" s="121" t="s">
        <v>71</v>
      </c>
      <c r="I4" s="121" t="s">
        <v>71</v>
      </c>
      <c r="J4" s="358"/>
      <c r="K4" s="362"/>
      <c r="L4" s="363"/>
    </row>
    <row r="5" spans="1:12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08">
        <v>32060981</v>
      </c>
      <c r="L5" s="3">
        <f>J5-K5</f>
        <v>22787838</v>
      </c>
    </row>
    <row r="6" spans="1:12" x14ac:dyDescent="0.3">
      <c r="A6" s="285"/>
      <c r="B6" s="261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08">
        <v>7273070</v>
      </c>
      <c r="L6" s="3">
        <f t="shared" ref="L6:L23" si="1">J6-K6</f>
        <v>0</v>
      </c>
    </row>
    <row r="7" spans="1:12" x14ac:dyDescent="0.3">
      <c r="A7" s="285"/>
      <c r="B7" s="261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08">
        <v>61177949</v>
      </c>
      <c r="L7" s="3">
        <f t="shared" si="1"/>
        <v>35807723</v>
      </c>
    </row>
    <row r="8" spans="1:12" x14ac:dyDescent="0.3">
      <c r="A8" s="285"/>
      <c r="B8" s="264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08">
        <v>0</v>
      </c>
      <c r="L8" s="3">
        <f t="shared" si="1"/>
        <v>200000</v>
      </c>
    </row>
    <row r="9" spans="1:12" x14ac:dyDescent="0.3">
      <c r="A9" s="285"/>
      <c r="B9" s="268"/>
      <c r="C9" s="2" t="s">
        <v>19</v>
      </c>
      <c r="D9" s="3">
        <v>13200</v>
      </c>
      <c r="E9" s="3">
        <v>16540</v>
      </c>
      <c r="F9" s="3">
        <f>5386</f>
        <v>5386</v>
      </c>
      <c r="G9" s="3"/>
      <c r="H9" s="3"/>
      <c r="I9" s="3"/>
      <c r="J9" s="20">
        <f t="shared" si="0"/>
        <v>21926</v>
      </c>
      <c r="K9" s="108">
        <v>21926</v>
      </c>
      <c r="L9" s="3">
        <f t="shared" si="1"/>
        <v>0</v>
      </c>
    </row>
    <row r="10" spans="1:12" x14ac:dyDescent="0.3">
      <c r="A10" s="285"/>
      <c r="B10" s="268"/>
      <c r="C10" s="2" t="s">
        <v>20</v>
      </c>
      <c r="D10" s="3">
        <v>500</v>
      </c>
      <c r="E10" s="3">
        <v>211</v>
      </c>
      <c r="F10" s="3">
        <v>-59</v>
      </c>
      <c r="G10" s="3"/>
      <c r="H10" s="3"/>
      <c r="I10" s="3"/>
      <c r="J10" s="20">
        <f t="shared" si="0"/>
        <v>152</v>
      </c>
      <c r="K10" s="108">
        <v>152</v>
      </c>
      <c r="L10" s="3">
        <f t="shared" si="1"/>
        <v>0</v>
      </c>
    </row>
    <row r="11" spans="1:12" x14ac:dyDescent="0.3">
      <c r="A11" s="285"/>
      <c r="B11" s="265"/>
      <c r="C11" s="2" t="s">
        <v>84</v>
      </c>
      <c r="D11" s="3">
        <v>0</v>
      </c>
      <c r="E11" s="3">
        <v>9238</v>
      </c>
      <c r="F11" s="3">
        <f>96-5386</f>
        <v>-5290</v>
      </c>
      <c r="G11" s="3"/>
      <c r="H11" s="3"/>
      <c r="I11" s="3"/>
      <c r="J11" s="20">
        <f t="shared" si="0"/>
        <v>3948</v>
      </c>
      <c r="K11" s="108">
        <v>3834</v>
      </c>
      <c r="L11" s="3">
        <f t="shared" si="1"/>
        <v>114</v>
      </c>
    </row>
    <row r="12" spans="1:12" x14ac:dyDescent="0.3">
      <c r="A12" s="285"/>
      <c r="B12" s="264">
        <v>104043</v>
      </c>
      <c r="C12" s="2" t="s">
        <v>20</v>
      </c>
      <c r="D12" s="3">
        <v>500</v>
      </c>
      <c r="E12" s="3">
        <v>210</v>
      </c>
      <c r="F12" s="3">
        <v>-37</v>
      </c>
      <c r="G12" s="3"/>
      <c r="H12" s="3"/>
      <c r="I12" s="3"/>
      <c r="J12" s="20">
        <f t="shared" si="0"/>
        <v>173</v>
      </c>
      <c r="K12" s="108">
        <v>152</v>
      </c>
      <c r="L12" s="3">
        <f t="shared" si="1"/>
        <v>21</v>
      </c>
    </row>
    <row r="13" spans="1:12" x14ac:dyDescent="0.3">
      <c r="A13" s="263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08">
        <v>1</v>
      </c>
      <c r="L13" s="3">
        <f t="shared" si="1"/>
        <v>0</v>
      </c>
    </row>
    <row r="14" spans="1:12" x14ac:dyDescent="0.3">
      <c r="A14" s="254" t="s">
        <v>7</v>
      </c>
      <c r="B14" s="261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08">
        <v>122992</v>
      </c>
      <c r="L14" s="3">
        <f t="shared" si="1"/>
        <v>122990</v>
      </c>
    </row>
    <row r="15" spans="1:12" x14ac:dyDescent="0.3">
      <c r="A15" s="254"/>
      <c r="B15" s="261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08">
        <v>1005557</v>
      </c>
      <c r="L15" s="3">
        <f t="shared" si="1"/>
        <v>0</v>
      </c>
    </row>
    <row r="16" spans="1:12" x14ac:dyDescent="0.3">
      <c r="A16" s="254" t="s">
        <v>8</v>
      </c>
      <c r="B16" s="261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08">
        <v>1560228</v>
      </c>
      <c r="L16" s="3">
        <f t="shared" si="1"/>
        <v>1543476</v>
      </c>
    </row>
    <row r="17" spans="1:12" x14ac:dyDescent="0.3">
      <c r="A17" s="254"/>
      <c r="B17" s="261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08">
        <v>440959</v>
      </c>
      <c r="L17" s="3">
        <f t="shared" si="1"/>
        <v>0</v>
      </c>
    </row>
    <row r="18" spans="1:12" x14ac:dyDescent="0.3">
      <c r="A18" s="254" t="s">
        <v>9</v>
      </c>
      <c r="B18" s="261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08">
        <v>780469</v>
      </c>
      <c r="L18" s="3">
        <f t="shared" si="1"/>
        <v>634418</v>
      </c>
    </row>
    <row r="19" spans="1:12" x14ac:dyDescent="0.3">
      <c r="A19" s="254"/>
      <c r="B19" s="261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08">
        <v>599759</v>
      </c>
      <c r="L19" s="3">
        <f t="shared" si="1"/>
        <v>0</v>
      </c>
    </row>
    <row r="20" spans="1:12" x14ac:dyDescent="0.3">
      <c r="A20" s="262" t="s">
        <v>54</v>
      </c>
      <c r="B20" s="264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08">
        <v>2028192</v>
      </c>
      <c r="L20" s="3">
        <f t="shared" si="1"/>
        <v>2028191</v>
      </c>
    </row>
    <row r="21" spans="1:12" x14ac:dyDescent="0.3">
      <c r="A21" s="263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08">
        <v>226299</v>
      </c>
      <c r="L21" s="3">
        <f t="shared" si="1"/>
        <v>0</v>
      </c>
    </row>
    <row r="22" spans="1:12" x14ac:dyDescent="0.3">
      <c r="A22" s="254" t="s">
        <v>10</v>
      </c>
      <c r="B22" s="261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08">
        <v>20202943</v>
      </c>
      <c r="L22" s="3">
        <f t="shared" si="1"/>
        <v>33424449</v>
      </c>
    </row>
    <row r="23" spans="1:12" x14ac:dyDescent="0.3">
      <c r="A23" s="254"/>
      <c r="B23" s="261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08">
        <v>6467166</v>
      </c>
      <c r="L23" s="3">
        <f t="shared" si="1"/>
        <v>0</v>
      </c>
    </row>
    <row r="24" spans="1:12" ht="30" customHeight="1" x14ac:dyDescent="0.3">
      <c r="A24" s="346" t="s">
        <v>73</v>
      </c>
      <c r="B24" s="347"/>
      <c r="C24" s="348"/>
      <c r="D24" s="122">
        <f t="shared" ref="D24:L24" si="2">SUM(D5:D23)</f>
        <v>230443641</v>
      </c>
      <c r="E24" s="122">
        <f t="shared" si="2"/>
        <v>230521849</v>
      </c>
      <c r="F24" s="122">
        <f t="shared" si="2"/>
        <v>0</v>
      </c>
      <c r="G24" s="122">
        <f t="shared" si="2"/>
        <v>0</v>
      </c>
      <c r="H24" s="122">
        <f t="shared" si="2"/>
        <v>0</v>
      </c>
      <c r="I24" s="122">
        <f t="shared" si="2"/>
        <v>0</v>
      </c>
      <c r="J24" s="122">
        <f t="shared" si="2"/>
        <v>230521849</v>
      </c>
      <c r="K24" s="123">
        <f t="shared" si="2"/>
        <v>133972629</v>
      </c>
      <c r="L24" s="122">
        <f t="shared" si="2"/>
        <v>96549220</v>
      </c>
    </row>
    <row r="25" spans="1:12" x14ac:dyDescent="0.3">
      <c r="A25" s="254" t="s">
        <v>11</v>
      </c>
      <c r="B25" s="264" t="s">
        <v>23</v>
      </c>
      <c r="C25" s="2" t="s">
        <v>24</v>
      </c>
      <c r="D25" s="3">
        <v>35883092</v>
      </c>
      <c r="E25" s="3">
        <v>35569400</v>
      </c>
      <c r="F25" s="3">
        <v>-30420</v>
      </c>
      <c r="G25" s="3"/>
      <c r="H25" s="3"/>
      <c r="I25" s="3"/>
      <c r="J25" s="20">
        <f t="shared" ref="J25:J31" si="3">E25+F25+G25+H25+I25</f>
        <v>35538980</v>
      </c>
      <c r="K25" s="108">
        <v>21352561</v>
      </c>
      <c r="L25" s="3">
        <f t="shared" ref="L25:L31" si="4">J25-K25</f>
        <v>14186419</v>
      </c>
    </row>
    <row r="26" spans="1:12" x14ac:dyDescent="0.3">
      <c r="A26" s="254"/>
      <c r="B26" s="268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08">
        <v>725000</v>
      </c>
      <c r="L26" s="3">
        <f t="shared" si="4"/>
        <v>817000</v>
      </c>
    </row>
    <row r="27" spans="1:12" x14ac:dyDescent="0.3">
      <c r="A27" s="254"/>
      <c r="B27" s="268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08">
        <v>0</v>
      </c>
      <c r="L27" s="3">
        <f t="shared" si="4"/>
        <v>80000</v>
      </c>
    </row>
    <row r="28" spans="1:12" x14ac:dyDescent="0.3">
      <c r="A28" s="254"/>
      <c r="B28" s="268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08">
        <v>457178</v>
      </c>
      <c r="L28" s="3">
        <f t="shared" si="4"/>
        <v>430408</v>
      </c>
    </row>
    <row r="29" spans="1:12" x14ac:dyDescent="0.3">
      <c r="A29" s="254"/>
      <c r="B29" s="268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08">
        <v>93000</v>
      </c>
      <c r="L29" s="3">
        <f t="shared" si="4"/>
        <v>97000</v>
      </c>
    </row>
    <row r="30" spans="1:12" x14ac:dyDescent="0.3">
      <c r="A30" s="254"/>
      <c r="B30" s="268"/>
      <c r="C30" s="2" t="s">
        <v>29</v>
      </c>
      <c r="D30" s="3">
        <v>1086500</v>
      </c>
      <c r="E30" s="3">
        <v>1353759</v>
      </c>
      <c r="F30" s="3">
        <v>30420</v>
      </c>
      <c r="G30" s="3"/>
      <c r="H30" s="3"/>
      <c r="I30" s="3"/>
      <c r="J30" s="20">
        <f t="shared" si="3"/>
        <v>1384179</v>
      </c>
      <c r="K30" s="108">
        <v>434161</v>
      </c>
      <c r="L30" s="3">
        <f t="shared" si="4"/>
        <v>950018</v>
      </c>
    </row>
    <row r="31" spans="1:12" x14ac:dyDescent="0.3">
      <c r="A31" s="254"/>
      <c r="B31" s="268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08">
        <v>13902</v>
      </c>
      <c r="L31" s="3">
        <f t="shared" si="4"/>
        <v>86098</v>
      </c>
    </row>
    <row r="32" spans="1:12" x14ac:dyDescent="0.3">
      <c r="A32" s="254"/>
      <c r="B32" s="268"/>
      <c r="C32" s="6" t="s">
        <v>53</v>
      </c>
      <c r="D32" s="7">
        <f>SUM(D25:D31)</f>
        <v>39774992</v>
      </c>
      <c r="E32" s="7">
        <v>39786862</v>
      </c>
      <c r="F32" s="7">
        <f t="shared" ref="F32:L32" si="5">SUM(F25:F31)</f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0">
        <f t="shared" si="5"/>
        <v>23075802</v>
      </c>
      <c r="L32" s="7">
        <f t="shared" si="5"/>
        <v>16646943</v>
      </c>
    </row>
    <row r="33" spans="1:12" x14ac:dyDescent="0.3">
      <c r="A33" s="254"/>
      <c r="B33" s="268"/>
      <c r="C33" s="82" t="s">
        <v>31</v>
      </c>
      <c r="D33" s="83">
        <v>7793417</v>
      </c>
      <c r="E33" s="83">
        <v>7795732</v>
      </c>
      <c r="F33" s="83"/>
      <c r="G33" s="83"/>
      <c r="H33" s="83"/>
      <c r="I33" s="83"/>
      <c r="J33" s="84">
        <f t="shared" ref="J33:J47" si="6">E33+F33+G33+H33+I33</f>
        <v>7795732</v>
      </c>
      <c r="K33" s="111">
        <v>4764032</v>
      </c>
      <c r="L33" s="85">
        <f t="shared" ref="L33:L47" si="7">J33-K33</f>
        <v>3031700</v>
      </c>
    </row>
    <row r="34" spans="1:12" x14ac:dyDescent="0.3">
      <c r="A34" s="254"/>
      <c r="B34" s="268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08">
        <v>24818</v>
      </c>
      <c r="L34" s="3">
        <f t="shared" si="7"/>
        <v>80182</v>
      </c>
    </row>
    <row r="35" spans="1:12" x14ac:dyDescent="0.3">
      <c r="A35" s="254"/>
      <c r="B35" s="268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08">
        <v>1922</v>
      </c>
      <c r="L35" s="3">
        <f t="shared" si="7"/>
        <v>498078</v>
      </c>
    </row>
    <row r="36" spans="1:12" x14ac:dyDescent="0.3">
      <c r="A36" s="254"/>
      <c r="B36" s="268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08">
        <v>80797</v>
      </c>
      <c r="L36" s="3">
        <f t="shared" si="7"/>
        <v>132203</v>
      </c>
    </row>
    <row r="37" spans="1:12" x14ac:dyDescent="0.3">
      <c r="A37" s="254"/>
      <c r="B37" s="268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08">
        <v>45024</v>
      </c>
      <c r="L37" s="3">
        <f t="shared" si="7"/>
        <v>116976</v>
      </c>
    </row>
    <row r="38" spans="1:12" x14ac:dyDescent="0.3">
      <c r="A38" s="254"/>
      <c r="B38" s="268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08">
        <v>367907</v>
      </c>
      <c r="L38" s="3">
        <f t="shared" si="7"/>
        <v>201633</v>
      </c>
    </row>
    <row r="39" spans="1:12" x14ac:dyDescent="0.3">
      <c r="A39" s="254"/>
      <c r="B39" s="268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08">
        <v>0</v>
      </c>
      <c r="L39" s="3">
        <f t="shared" si="7"/>
        <v>3000</v>
      </c>
    </row>
    <row r="40" spans="1:12" x14ac:dyDescent="0.3">
      <c r="A40" s="254"/>
      <c r="B40" s="268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08">
        <v>168339</v>
      </c>
      <c r="L40" s="3">
        <f t="shared" si="7"/>
        <v>288161</v>
      </c>
    </row>
    <row r="41" spans="1:12" x14ac:dyDescent="0.3">
      <c r="A41" s="254"/>
      <c r="B41" s="268"/>
      <c r="C41" s="2" t="s">
        <v>39</v>
      </c>
      <c r="D41" s="3">
        <v>13200</v>
      </c>
      <c r="E41" s="3">
        <v>16540</v>
      </c>
      <c r="F41" s="3">
        <v>5386</v>
      </c>
      <c r="G41" s="3"/>
      <c r="H41" s="3"/>
      <c r="I41" s="3"/>
      <c r="J41" s="20">
        <f t="shared" si="6"/>
        <v>21926</v>
      </c>
      <c r="K41" s="108">
        <v>21926</v>
      </c>
      <c r="L41" s="3">
        <f t="shared" si="7"/>
        <v>0</v>
      </c>
    </row>
    <row r="42" spans="1:12" x14ac:dyDescent="0.3">
      <c r="A42" s="254"/>
      <c r="B42" s="268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08">
        <v>53500</v>
      </c>
      <c r="L42" s="3">
        <f t="shared" si="7"/>
        <v>84300</v>
      </c>
    </row>
    <row r="43" spans="1:12" x14ac:dyDescent="0.3">
      <c r="A43" s="254"/>
      <c r="B43" s="268"/>
      <c r="C43" s="2" t="s">
        <v>41</v>
      </c>
      <c r="D43" s="3">
        <v>582236</v>
      </c>
      <c r="E43" s="3">
        <v>583896</v>
      </c>
      <c r="F43" s="3">
        <v>-5386</v>
      </c>
      <c r="G43" s="3"/>
      <c r="H43" s="3"/>
      <c r="I43" s="3"/>
      <c r="J43" s="20">
        <f t="shared" si="6"/>
        <v>578510</v>
      </c>
      <c r="K43" s="108">
        <v>448061</v>
      </c>
      <c r="L43" s="3">
        <f t="shared" si="7"/>
        <v>130449</v>
      </c>
    </row>
    <row r="44" spans="1:12" x14ac:dyDescent="0.3">
      <c r="A44" s="254"/>
      <c r="B44" s="268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08">
        <v>258335</v>
      </c>
      <c r="L44" s="3">
        <f t="shared" si="7"/>
        <v>275710</v>
      </c>
    </row>
    <row r="45" spans="1:12" x14ac:dyDescent="0.3">
      <c r="A45" s="254"/>
      <c r="B45" s="268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08">
        <v>0</v>
      </c>
      <c r="L45" s="3">
        <f t="shared" si="7"/>
        <v>30000</v>
      </c>
    </row>
    <row r="46" spans="1:12" x14ac:dyDescent="0.3">
      <c r="A46" s="254"/>
      <c r="B46" s="268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08">
        <v>120393</v>
      </c>
      <c r="L46" s="3">
        <f t="shared" si="7"/>
        <v>98042</v>
      </c>
    </row>
    <row r="47" spans="1:12" x14ac:dyDescent="0.3">
      <c r="A47" s="254"/>
      <c r="B47" s="268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08">
        <v>48233</v>
      </c>
      <c r="L47" s="3">
        <f t="shared" si="7"/>
        <v>27531</v>
      </c>
    </row>
    <row r="48" spans="1:12" x14ac:dyDescent="0.3">
      <c r="A48" s="254"/>
      <c r="B48" s="268"/>
      <c r="C48" s="6" t="s">
        <v>49</v>
      </c>
      <c r="D48" s="7">
        <f>SUM(D34:D47)</f>
        <v>3863610</v>
      </c>
      <c r="E48" s="7">
        <v>3610915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3605520</v>
      </c>
      <c r="K48" s="110">
        <f t="shared" si="8"/>
        <v>1639255</v>
      </c>
      <c r="L48" s="7">
        <f t="shared" si="8"/>
        <v>1966265</v>
      </c>
    </row>
    <row r="49" spans="1:12" x14ac:dyDescent="0.3">
      <c r="A49" s="254"/>
      <c r="B49" s="268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08">
        <v>0</v>
      </c>
      <c r="L49" s="3">
        <f t="shared" ref="L49:L50" si="10">J49-K49</f>
        <v>78740</v>
      </c>
    </row>
    <row r="50" spans="1:12" x14ac:dyDescent="0.3">
      <c r="A50" s="254"/>
      <c r="B50" s="268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08">
        <v>0</v>
      </c>
      <c r="L50" s="3">
        <f t="shared" si="10"/>
        <v>21260</v>
      </c>
    </row>
    <row r="51" spans="1:12" x14ac:dyDescent="0.3">
      <c r="A51" s="254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0">
        <f t="shared" si="11"/>
        <v>0</v>
      </c>
      <c r="L51" s="7">
        <f t="shared" si="11"/>
        <v>100000</v>
      </c>
    </row>
    <row r="52" spans="1:12" x14ac:dyDescent="0.3">
      <c r="A52" s="254"/>
      <c r="B52" s="261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08">
        <v>15043672</v>
      </c>
      <c r="L52" s="3">
        <f t="shared" ref="L52:L60" si="13">J52-K52</f>
        <v>10099609</v>
      </c>
    </row>
    <row r="53" spans="1:12" x14ac:dyDescent="0.3">
      <c r="A53" s="254"/>
      <c r="B53" s="261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08">
        <v>1270865</v>
      </c>
      <c r="L53" s="3">
        <f t="shared" si="13"/>
        <v>769615</v>
      </c>
    </row>
    <row r="54" spans="1:12" x14ac:dyDescent="0.3">
      <c r="A54" s="254"/>
      <c r="B54" s="261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08">
        <v>0</v>
      </c>
      <c r="L54" s="3">
        <f t="shared" si="13"/>
        <v>0</v>
      </c>
    </row>
    <row r="55" spans="1:12" x14ac:dyDescent="0.3">
      <c r="A55" s="254"/>
      <c r="B55" s="261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08">
        <v>450000</v>
      </c>
      <c r="L55" s="3">
        <f t="shared" si="13"/>
        <v>575000</v>
      </c>
    </row>
    <row r="56" spans="1:12" x14ac:dyDescent="0.3">
      <c r="A56" s="254"/>
      <c r="B56" s="261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08">
        <v>0</v>
      </c>
      <c r="L56" s="3">
        <f t="shared" si="13"/>
        <v>60000</v>
      </c>
    </row>
    <row r="57" spans="1:12" x14ac:dyDescent="0.3">
      <c r="A57" s="254"/>
      <c r="B57" s="261"/>
      <c r="C57" s="2" t="s">
        <v>27</v>
      </c>
      <c r="D57" s="3">
        <v>240000</v>
      </c>
      <c r="E57" s="3">
        <v>234798</v>
      </c>
      <c r="F57" s="3">
        <v>-4896</v>
      </c>
      <c r="G57" s="3"/>
      <c r="H57" s="3"/>
      <c r="I57" s="3"/>
      <c r="J57" s="20">
        <f t="shared" si="12"/>
        <v>229902</v>
      </c>
      <c r="K57" s="108">
        <v>103320</v>
      </c>
      <c r="L57" s="3">
        <f t="shared" si="13"/>
        <v>126582</v>
      </c>
    </row>
    <row r="58" spans="1:12" x14ac:dyDescent="0.3">
      <c r="A58" s="254"/>
      <c r="B58" s="261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08">
        <v>57000</v>
      </c>
      <c r="L58" s="3">
        <f t="shared" si="13"/>
        <v>90000</v>
      </c>
    </row>
    <row r="59" spans="1:12" x14ac:dyDescent="0.3">
      <c r="A59" s="254"/>
      <c r="B59" s="261"/>
      <c r="C59" s="2" t="s">
        <v>29</v>
      </c>
      <c r="D59" s="3">
        <v>553500</v>
      </c>
      <c r="E59" s="3">
        <v>553500</v>
      </c>
      <c r="F59" s="3">
        <v>-30420</v>
      </c>
      <c r="G59" s="3"/>
      <c r="H59" s="3"/>
      <c r="I59" s="3"/>
      <c r="J59" s="20">
        <f t="shared" si="12"/>
        <v>523080</v>
      </c>
      <c r="K59" s="108">
        <v>385988</v>
      </c>
      <c r="L59" s="3">
        <f t="shared" si="13"/>
        <v>137092</v>
      </c>
    </row>
    <row r="60" spans="1:12" x14ac:dyDescent="0.3">
      <c r="A60" s="254"/>
      <c r="B60" s="261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08">
        <v>13902</v>
      </c>
      <c r="L60" s="3">
        <f t="shared" si="13"/>
        <v>86098</v>
      </c>
    </row>
    <row r="61" spans="1:12" x14ac:dyDescent="0.3">
      <c r="A61" s="254"/>
      <c r="B61" s="261"/>
      <c r="C61" s="6" t="s">
        <v>53</v>
      </c>
      <c r="D61" s="7">
        <f>SUM(D52:D60)</f>
        <v>29289325</v>
      </c>
      <c r="E61" s="7">
        <v>29304059</v>
      </c>
      <c r="F61" s="7">
        <f t="shared" ref="F61:L61" si="14">SUM(F52:F60)</f>
        <v>-35316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0">
        <f t="shared" si="14"/>
        <v>17324747</v>
      </c>
      <c r="L61" s="7">
        <f t="shared" si="14"/>
        <v>11943996</v>
      </c>
    </row>
    <row r="62" spans="1:12" x14ac:dyDescent="0.3">
      <c r="A62" s="254"/>
      <c r="B62" s="261"/>
      <c r="C62" s="82" t="s">
        <v>31</v>
      </c>
      <c r="D62" s="83">
        <v>5849797</v>
      </c>
      <c r="E62" s="83">
        <v>5853685</v>
      </c>
      <c r="F62" s="83"/>
      <c r="G62" s="83"/>
      <c r="H62" s="83"/>
      <c r="I62" s="83"/>
      <c r="J62" s="84">
        <f t="shared" ref="J62:J75" si="15">E62+F62+G62+H62+I62</f>
        <v>5853685</v>
      </c>
      <c r="K62" s="111">
        <v>3678022</v>
      </c>
      <c r="L62" s="85">
        <f t="shared" ref="L62:L75" si="16">J62-K62</f>
        <v>2175663</v>
      </c>
    </row>
    <row r="63" spans="1:12" x14ac:dyDescent="0.3">
      <c r="A63" s="254"/>
      <c r="B63" s="261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08">
        <v>24820</v>
      </c>
      <c r="L63" s="3">
        <f t="shared" si="16"/>
        <v>80180</v>
      </c>
    </row>
    <row r="64" spans="1:12" x14ac:dyDescent="0.3">
      <c r="A64" s="254"/>
      <c r="B64" s="261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08">
        <v>36894</v>
      </c>
      <c r="L64" s="3">
        <f t="shared" si="16"/>
        <v>663106</v>
      </c>
    </row>
    <row r="65" spans="1:12" x14ac:dyDescent="0.3">
      <c r="A65" s="254"/>
      <c r="B65" s="261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08">
        <v>73179</v>
      </c>
      <c r="L65" s="3">
        <f t="shared" si="16"/>
        <v>139821</v>
      </c>
    </row>
    <row r="66" spans="1:12" x14ac:dyDescent="0.3">
      <c r="A66" s="254"/>
      <c r="B66" s="261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08">
        <v>76807</v>
      </c>
      <c r="L66" s="3">
        <f t="shared" si="16"/>
        <v>45393</v>
      </c>
    </row>
    <row r="67" spans="1:12" x14ac:dyDescent="0.3">
      <c r="A67" s="254"/>
      <c r="B67" s="261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08">
        <v>444442</v>
      </c>
      <c r="L67" s="3">
        <f t="shared" si="16"/>
        <v>225098</v>
      </c>
    </row>
    <row r="68" spans="1:12" x14ac:dyDescent="0.3">
      <c r="A68" s="254"/>
      <c r="B68" s="261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08">
        <v>0</v>
      </c>
      <c r="L68" s="3">
        <f t="shared" si="16"/>
        <v>123000</v>
      </c>
    </row>
    <row r="69" spans="1:12" x14ac:dyDescent="0.3">
      <c r="A69" s="254"/>
      <c r="B69" s="261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08">
        <v>172839</v>
      </c>
      <c r="L69" s="3">
        <f t="shared" si="16"/>
        <v>287161</v>
      </c>
    </row>
    <row r="70" spans="1:12" x14ac:dyDescent="0.3">
      <c r="A70" s="254"/>
      <c r="B70" s="261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08">
        <v>481594</v>
      </c>
      <c r="L70" s="3">
        <f t="shared" si="16"/>
        <v>880310</v>
      </c>
    </row>
    <row r="71" spans="1:12" x14ac:dyDescent="0.3">
      <c r="A71" s="254"/>
      <c r="B71" s="261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08">
        <v>593361</v>
      </c>
      <c r="L71" s="3">
        <f t="shared" si="16"/>
        <v>387190</v>
      </c>
    </row>
    <row r="72" spans="1:12" x14ac:dyDescent="0.3">
      <c r="A72" s="254"/>
      <c r="B72" s="261"/>
      <c r="C72" s="2" t="s">
        <v>42</v>
      </c>
      <c r="D72" s="3">
        <v>1200000</v>
      </c>
      <c r="E72" s="3">
        <v>1140675</v>
      </c>
      <c r="F72" s="3">
        <v>-1630</v>
      </c>
      <c r="G72" s="3"/>
      <c r="H72" s="3"/>
      <c r="I72" s="3"/>
      <c r="J72" s="20">
        <f t="shared" si="15"/>
        <v>1139045</v>
      </c>
      <c r="K72" s="108">
        <v>244790</v>
      </c>
      <c r="L72" s="3">
        <f t="shared" si="16"/>
        <v>894255</v>
      </c>
    </row>
    <row r="73" spans="1:12" x14ac:dyDescent="0.3">
      <c r="A73" s="254"/>
      <c r="B73" s="261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08">
        <v>0</v>
      </c>
      <c r="L73" s="3">
        <f t="shared" si="16"/>
        <v>30000</v>
      </c>
    </row>
    <row r="74" spans="1:12" x14ac:dyDescent="0.3">
      <c r="A74" s="254"/>
      <c r="B74" s="261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08">
        <v>242031</v>
      </c>
      <c r="L74" s="3">
        <f t="shared" si="16"/>
        <v>738392</v>
      </c>
    </row>
    <row r="75" spans="1:12" x14ac:dyDescent="0.3">
      <c r="A75" s="254"/>
      <c r="B75" s="261"/>
      <c r="C75" s="2" t="s">
        <v>45</v>
      </c>
      <c r="D75" s="3">
        <v>433021</v>
      </c>
      <c r="E75" s="3">
        <v>134003</v>
      </c>
      <c r="F75" s="3"/>
      <c r="G75" s="3"/>
      <c r="H75" s="3"/>
      <c r="I75" s="3"/>
      <c r="J75" s="20">
        <f t="shared" si="15"/>
        <v>134003</v>
      </c>
      <c r="K75" s="108">
        <v>0</v>
      </c>
      <c r="L75" s="3">
        <f t="shared" si="16"/>
        <v>134003</v>
      </c>
    </row>
    <row r="76" spans="1:12" x14ac:dyDescent="0.3">
      <c r="A76" s="254"/>
      <c r="B76" s="261"/>
      <c r="C76" s="6" t="s">
        <v>49</v>
      </c>
      <c r="D76" s="7">
        <f>SUM(D63:D75)</f>
        <v>7607209</v>
      </c>
      <c r="E76" s="7">
        <v>7046696</v>
      </c>
      <c r="F76" s="7">
        <f t="shared" ref="F76:L76" si="17">SUM(F63:F75)</f>
        <v>-1630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7018666</v>
      </c>
      <c r="K76" s="110">
        <f t="shared" si="17"/>
        <v>2390757</v>
      </c>
      <c r="L76" s="7">
        <f t="shared" si="17"/>
        <v>4627909</v>
      </c>
    </row>
    <row r="77" spans="1:12" x14ac:dyDescent="0.3">
      <c r="A77" s="254"/>
      <c r="B77" s="261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08">
        <v>0</v>
      </c>
      <c r="L77" s="3">
        <f t="shared" ref="L77:L78" si="19">J77-K77</f>
        <v>78740</v>
      </c>
    </row>
    <row r="78" spans="1:12" x14ac:dyDescent="0.3">
      <c r="A78" s="254"/>
      <c r="B78" s="261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08">
        <v>0</v>
      </c>
      <c r="L78" s="3">
        <f t="shared" si="19"/>
        <v>21260</v>
      </c>
    </row>
    <row r="79" spans="1:12" x14ac:dyDescent="0.3">
      <c r="A79" s="254"/>
      <c r="B79" s="261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0">
        <f t="shared" si="20"/>
        <v>0</v>
      </c>
      <c r="L79" s="7">
        <f t="shared" si="20"/>
        <v>100000</v>
      </c>
    </row>
    <row r="80" spans="1:12" x14ac:dyDescent="0.3">
      <c r="A80" s="281" t="s">
        <v>58</v>
      </c>
      <c r="B80" s="280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08">
        <v>286600</v>
      </c>
      <c r="L80" s="3">
        <f t="shared" ref="L80:L87" si="22">J80-K80</f>
        <v>123800</v>
      </c>
    </row>
    <row r="81" spans="1:12" x14ac:dyDescent="0.3">
      <c r="A81" s="282"/>
      <c r="B81" s="28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08">
        <v>55159</v>
      </c>
      <c r="L81" s="3">
        <f t="shared" si="22"/>
        <v>21107</v>
      </c>
    </row>
    <row r="82" spans="1:12" x14ac:dyDescent="0.3">
      <c r="A82" s="281" t="s">
        <v>59</v>
      </c>
      <c r="B82" s="280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08">
        <v>235800</v>
      </c>
      <c r="L82" s="3">
        <f t="shared" si="22"/>
        <v>367800</v>
      </c>
    </row>
    <row r="83" spans="1:12" x14ac:dyDescent="0.3">
      <c r="A83" s="282"/>
      <c r="B83" s="28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08">
        <v>45452</v>
      </c>
      <c r="L83" s="3">
        <f t="shared" si="22"/>
        <v>66717</v>
      </c>
    </row>
    <row r="84" spans="1:12" x14ac:dyDescent="0.3">
      <c r="A84" s="281" t="s">
        <v>60</v>
      </c>
      <c r="B84" s="280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08">
        <v>6886332</v>
      </c>
      <c r="L84" s="3">
        <f t="shared" si="22"/>
        <v>3789894</v>
      </c>
    </row>
    <row r="85" spans="1:12" x14ac:dyDescent="0.3">
      <c r="A85" s="282"/>
      <c r="B85" s="28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08">
        <v>1325339</v>
      </c>
      <c r="L85" s="3">
        <f t="shared" si="22"/>
        <v>663926</v>
      </c>
    </row>
    <row r="86" spans="1:12" x14ac:dyDescent="0.3">
      <c r="A86" s="281" t="s">
        <v>61</v>
      </c>
      <c r="B86" s="280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08">
        <v>5045597</v>
      </c>
      <c r="L86" s="3">
        <f t="shared" si="22"/>
        <v>3352077</v>
      </c>
    </row>
    <row r="87" spans="1:12" x14ac:dyDescent="0.3">
      <c r="A87" s="282"/>
      <c r="B87" s="28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08">
        <v>971239</v>
      </c>
      <c r="L87" s="3">
        <f t="shared" si="22"/>
        <v>592114</v>
      </c>
    </row>
    <row r="88" spans="1:12" x14ac:dyDescent="0.3">
      <c r="A88" s="346" t="s">
        <v>76</v>
      </c>
      <c r="B88" s="347"/>
      <c r="C88" s="348"/>
      <c r="D88" s="122">
        <f t="shared" ref="D88" si="23">SUM(D32+D33+D48+D51+D61+D62+D76+D79+D80+D81+D82+D83+D84+D85+D86+D87)</f>
        <v>118207303</v>
      </c>
      <c r="E88" s="122">
        <v>117426902</v>
      </c>
      <c r="F88" s="122">
        <f t="shared" ref="F88:L88" si="24">SUM(F32+F33+F48+F51+F61+F62+F76+F79+F80+F81+F82+F83+F84+F85+F86+F87)</f>
        <v>-36946</v>
      </c>
      <c r="G88" s="122">
        <f t="shared" si="24"/>
        <v>0</v>
      </c>
      <c r="H88" s="122">
        <f t="shared" si="24"/>
        <v>0</v>
      </c>
      <c r="I88" s="122">
        <f t="shared" si="24"/>
        <v>0</v>
      </c>
      <c r="J88" s="122">
        <f t="shared" si="24"/>
        <v>117294044</v>
      </c>
      <c r="K88" s="124">
        <f t="shared" si="24"/>
        <v>67724133</v>
      </c>
      <c r="L88" s="122">
        <f t="shared" si="24"/>
        <v>49569911</v>
      </c>
    </row>
    <row r="89" spans="1:12" x14ac:dyDescent="0.3">
      <c r="A89" s="254" t="s">
        <v>12</v>
      </c>
      <c r="B89" s="261" t="s">
        <v>23</v>
      </c>
      <c r="C89" s="2" t="s">
        <v>24</v>
      </c>
      <c r="D89" s="3">
        <v>4811583</v>
      </c>
      <c r="E89" s="3">
        <v>4732868</v>
      </c>
      <c r="F89" s="3"/>
      <c r="G89" s="3"/>
      <c r="H89" s="3"/>
      <c r="I89" s="3"/>
      <c r="J89" s="20">
        <f t="shared" ref="J89:J95" si="25">E89+F89+G89+H89+I89</f>
        <v>4732868</v>
      </c>
      <c r="K89" s="108">
        <v>2978552</v>
      </c>
      <c r="L89" s="3">
        <f t="shared" ref="L89:L95" si="26">J89-K89</f>
        <v>1754316</v>
      </c>
    </row>
    <row r="90" spans="1:12" x14ac:dyDescent="0.3">
      <c r="A90" s="254"/>
      <c r="B90" s="261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08">
        <v>100000</v>
      </c>
      <c r="L90" s="3">
        <f t="shared" si="26"/>
        <v>100000</v>
      </c>
    </row>
    <row r="91" spans="1:12" x14ac:dyDescent="0.3">
      <c r="A91" s="254"/>
      <c r="B91" s="261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08">
        <v>0</v>
      </c>
      <c r="L91" s="3">
        <f t="shared" si="26"/>
        <v>10000</v>
      </c>
    </row>
    <row r="92" spans="1:12" x14ac:dyDescent="0.3">
      <c r="A92" s="254"/>
      <c r="B92" s="261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08">
        <v>89100</v>
      </c>
      <c r="L92" s="3">
        <f t="shared" si="26"/>
        <v>108900</v>
      </c>
    </row>
    <row r="93" spans="1:12" x14ac:dyDescent="0.3">
      <c r="A93" s="254"/>
      <c r="B93" s="261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08">
        <v>12000</v>
      </c>
      <c r="L93" s="3">
        <f t="shared" si="26"/>
        <v>12000</v>
      </c>
    </row>
    <row r="94" spans="1:12" x14ac:dyDescent="0.3">
      <c r="A94" s="254"/>
      <c r="B94" s="261"/>
      <c r="C94" s="2" t="s">
        <v>29</v>
      </c>
      <c r="D94" s="3">
        <v>75000</v>
      </c>
      <c r="E94" s="3">
        <v>153715</v>
      </c>
      <c r="F94" s="3"/>
      <c r="G94" s="3"/>
      <c r="H94" s="3"/>
      <c r="I94" s="3"/>
      <c r="J94" s="20">
        <f t="shared" si="25"/>
        <v>153715</v>
      </c>
      <c r="K94" s="108">
        <v>78715</v>
      </c>
      <c r="L94" s="3">
        <f t="shared" si="26"/>
        <v>75000</v>
      </c>
    </row>
    <row r="95" spans="1:12" x14ac:dyDescent="0.3">
      <c r="A95" s="254"/>
      <c r="B95" s="261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08">
        <v>0</v>
      </c>
      <c r="L95" s="3">
        <f t="shared" si="26"/>
        <v>0</v>
      </c>
    </row>
    <row r="96" spans="1:12" x14ac:dyDescent="0.3">
      <c r="A96" s="254"/>
      <c r="B96" s="261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0">
        <f t="shared" si="27"/>
        <v>3258367</v>
      </c>
      <c r="L96" s="7">
        <f t="shared" si="27"/>
        <v>2060216</v>
      </c>
    </row>
    <row r="97" spans="1:12" x14ac:dyDescent="0.3">
      <c r="A97" s="254"/>
      <c r="B97" s="261"/>
      <c r="C97" s="82" t="s">
        <v>31</v>
      </c>
      <c r="D97" s="83">
        <v>1035556</v>
      </c>
      <c r="E97" s="83">
        <v>1035556</v>
      </c>
      <c r="F97" s="83"/>
      <c r="G97" s="83"/>
      <c r="H97" s="83"/>
      <c r="I97" s="83"/>
      <c r="J97" s="84">
        <f t="shared" ref="J97:J107" si="28">E97+F97+G97+H97+I97</f>
        <v>1035556</v>
      </c>
      <c r="K97" s="111">
        <v>665076</v>
      </c>
      <c r="L97" s="85">
        <f t="shared" ref="L97:L107" si="29">J97-K97</f>
        <v>370480</v>
      </c>
    </row>
    <row r="98" spans="1:12" x14ac:dyDescent="0.3">
      <c r="A98" s="254"/>
      <c r="B98" s="261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08">
        <v>0</v>
      </c>
      <c r="L98" s="3">
        <f t="shared" si="29"/>
        <v>100000</v>
      </c>
    </row>
    <row r="99" spans="1:12" x14ac:dyDescent="0.3">
      <c r="A99" s="254"/>
      <c r="B99" s="261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08">
        <v>0</v>
      </c>
      <c r="L99" s="3">
        <f t="shared" si="29"/>
        <v>100000</v>
      </c>
    </row>
    <row r="100" spans="1:12" x14ac:dyDescent="0.3">
      <c r="A100" s="254"/>
      <c r="B100" s="261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08">
        <v>0</v>
      </c>
      <c r="L100" s="3">
        <f t="shared" si="29"/>
        <v>210000</v>
      </c>
    </row>
    <row r="101" spans="1:12" x14ac:dyDescent="0.3">
      <c r="A101" s="254"/>
      <c r="B101" s="261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08">
        <v>0</v>
      </c>
      <c r="L101" s="3">
        <f t="shared" si="29"/>
        <v>110000</v>
      </c>
    </row>
    <row r="102" spans="1:12" x14ac:dyDescent="0.3">
      <c r="A102" s="254"/>
      <c r="B102" s="261"/>
      <c r="C102" s="2" t="s">
        <v>36</v>
      </c>
      <c r="D102" s="3">
        <v>500000</v>
      </c>
      <c r="E102" s="3">
        <v>500000</v>
      </c>
      <c r="F102" s="3">
        <v>-900</v>
      </c>
      <c r="G102" s="3"/>
      <c r="H102" s="3"/>
      <c r="I102" s="3"/>
      <c r="J102" s="20">
        <f t="shared" si="28"/>
        <v>499100</v>
      </c>
      <c r="K102" s="108">
        <v>338922</v>
      </c>
      <c r="L102" s="3">
        <f t="shared" si="29"/>
        <v>160178</v>
      </c>
    </row>
    <row r="103" spans="1:12" x14ac:dyDescent="0.3">
      <c r="A103" s="254"/>
      <c r="B103" s="261"/>
      <c r="C103" s="2" t="s">
        <v>38</v>
      </c>
      <c r="D103" s="3">
        <v>140000</v>
      </c>
      <c r="E103" s="3">
        <v>140000</v>
      </c>
      <c r="F103" s="3">
        <v>-4620</v>
      </c>
      <c r="G103" s="3"/>
      <c r="H103" s="3"/>
      <c r="I103" s="3"/>
      <c r="J103" s="20">
        <f t="shared" si="28"/>
        <v>135380</v>
      </c>
      <c r="K103" s="108">
        <v>0</v>
      </c>
      <c r="L103" s="3">
        <f t="shared" si="29"/>
        <v>135380</v>
      </c>
    </row>
    <row r="104" spans="1:12" x14ac:dyDescent="0.3">
      <c r="A104" s="254"/>
      <c r="B104" s="261"/>
      <c r="C104" s="2" t="s">
        <v>40</v>
      </c>
      <c r="D104" s="3">
        <v>16800</v>
      </c>
      <c r="E104" s="3">
        <v>16800</v>
      </c>
      <c r="F104" s="3">
        <v>3400</v>
      </c>
      <c r="G104" s="3"/>
      <c r="H104" s="3"/>
      <c r="I104" s="3"/>
      <c r="J104" s="20">
        <f t="shared" si="28"/>
        <v>20200</v>
      </c>
      <c r="K104" s="108">
        <v>6800</v>
      </c>
      <c r="L104" s="3">
        <f t="shared" si="29"/>
        <v>13400</v>
      </c>
    </row>
    <row r="105" spans="1:12" x14ac:dyDescent="0.3">
      <c r="A105" s="254"/>
      <c r="B105" s="261"/>
      <c r="C105" s="2" t="s">
        <v>41</v>
      </c>
      <c r="D105" s="3">
        <v>80000</v>
      </c>
      <c r="E105" s="3">
        <v>85160</v>
      </c>
      <c r="F105" s="3">
        <f>900-3400+3400+1220</f>
        <v>2120</v>
      </c>
      <c r="G105" s="3"/>
      <c r="H105" s="3"/>
      <c r="I105" s="3"/>
      <c r="J105" s="20">
        <f t="shared" si="28"/>
        <v>87280</v>
      </c>
      <c r="K105" s="108">
        <v>86060</v>
      </c>
      <c r="L105" s="3">
        <f t="shared" si="29"/>
        <v>1220</v>
      </c>
    </row>
    <row r="106" spans="1:12" x14ac:dyDescent="0.3">
      <c r="A106" s="254"/>
      <c r="B106" s="261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08">
        <v>113680</v>
      </c>
      <c r="L106" s="3">
        <f t="shared" si="29"/>
        <v>126320</v>
      </c>
    </row>
    <row r="107" spans="1:12" x14ac:dyDescent="0.3">
      <c r="A107" s="254"/>
      <c r="B107" s="261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8"/>
        <v>195440</v>
      </c>
      <c r="K107" s="108">
        <v>27491</v>
      </c>
      <c r="L107" s="3">
        <f t="shared" si="29"/>
        <v>167949</v>
      </c>
    </row>
    <row r="108" spans="1:12" x14ac:dyDescent="0.3">
      <c r="A108" s="254"/>
      <c r="B108" s="261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0">
        <f t="shared" si="30"/>
        <v>572953</v>
      </c>
      <c r="L108" s="7">
        <f t="shared" si="30"/>
        <v>1124447</v>
      </c>
    </row>
    <row r="109" spans="1:12" x14ac:dyDescent="0.3">
      <c r="A109" s="262" t="s">
        <v>62</v>
      </c>
      <c r="B109" s="264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08">
        <v>46400</v>
      </c>
      <c r="L109" s="3">
        <f t="shared" ref="L109:L112" si="32">J109-K109</f>
        <v>65200</v>
      </c>
    </row>
    <row r="110" spans="1:12" x14ac:dyDescent="0.3">
      <c r="A110" s="263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08">
        <v>8939</v>
      </c>
      <c r="L110" s="3">
        <f t="shared" si="32"/>
        <v>11800</v>
      </c>
    </row>
    <row r="111" spans="1:12" x14ac:dyDescent="0.3">
      <c r="A111" s="262" t="s">
        <v>63</v>
      </c>
      <c r="B111" s="264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08">
        <v>1000842</v>
      </c>
      <c r="L111" s="3">
        <f t="shared" si="32"/>
        <v>459430</v>
      </c>
    </row>
    <row r="112" spans="1:12" x14ac:dyDescent="0.3">
      <c r="A112" s="263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08">
        <v>192647</v>
      </c>
      <c r="L112" s="3">
        <f t="shared" si="32"/>
        <v>79521</v>
      </c>
    </row>
    <row r="113" spans="1:12" x14ac:dyDescent="0.3">
      <c r="A113" s="346" t="s">
        <v>77</v>
      </c>
      <c r="B113" s="347"/>
      <c r="C113" s="348"/>
      <c r="D113" s="122">
        <f>SUM(D96+D97+D108+D109+D110+D111+D112)</f>
        <v>9916318</v>
      </c>
      <c r="E113" s="122">
        <v>9916318</v>
      </c>
      <c r="F113" s="122">
        <f t="shared" ref="F113:L113" si="33">SUM(F96+F97+F108+F109+F110+F111+F112)</f>
        <v>0</v>
      </c>
      <c r="G113" s="122">
        <f t="shared" si="33"/>
        <v>0</v>
      </c>
      <c r="H113" s="122">
        <f t="shared" si="33"/>
        <v>0</v>
      </c>
      <c r="I113" s="122">
        <f t="shared" si="33"/>
        <v>0</v>
      </c>
      <c r="J113" s="122">
        <f t="shared" si="33"/>
        <v>9916318</v>
      </c>
      <c r="K113" s="124">
        <f t="shared" si="33"/>
        <v>5745224</v>
      </c>
      <c r="L113" s="122">
        <f t="shared" si="33"/>
        <v>4171094</v>
      </c>
    </row>
    <row r="114" spans="1:12" x14ac:dyDescent="0.3">
      <c r="A114" s="254" t="s">
        <v>13</v>
      </c>
      <c r="B114" s="261" t="s">
        <v>23</v>
      </c>
      <c r="C114" s="2" t="s">
        <v>24</v>
      </c>
      <c r="D114" s="3">
        <v>4871210</v>
      </c>
      <c r="E114" s="3">
        <v>4856627</v>
      </c>
      <c r="F114" s="3"/>
      <c r="G114" s="3"/>
      <c r="H114" s="3"/>
      <c r="I114" s="3"/>
      <c r="J114" s="20">
        <f t="shared" ref="J114:J119" si="34">E114+F114+G114+H114+I114</f>
        <v>4856627</v>
      </c>
      <c r="K114" s="108">
        <v>3132900</v>
      </c>
      <c r="L114" s="3">
        <f t="shared" ref="L114:L119" si="35">J114-K114</f>
        <v>1723727</v>
      </c>
    </row>
    <row r="115" spans="1:12" x14ac:dyDescent="0.3">
      <c r="A115" s="254"/>
      <c r="B115" s="261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08">
        <v>100000</v>
      </c>
      <c r="L115" s="3">
        <f t="shared" si="35"/>
        <v>100000</v>
      </c>
    </row>
    <row r="116" spans="1:12" x14ac:dyDescent="0.3">
      <c r="A116" s="254"/>
      <c r="B116" s="261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08">
        <v>0</v>
      </c>
      <c r="L116" s="3">
        <f t="shared" si="35"/>
        <v>10000</v>
      </c>
    </row>
    <row r="117" spans="1:12" x14ac:dyDescent="0.3">
      <c r="A117" s="254"/>
      <c r="B117" s="261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08">
        <v>12000</v>
      </c>
      <c r="L117" s="3">
        <f t="shared" si="35"/>
        <v>12000</v>
      </c>
    </row>
    <row r="118" spans="1:12" x14ac:dyDescent="0.3">
      <c r="A118" s="254"/>
      <c r="B118" s="261"/>
      <c r="C118" s="2" t="s">
        <v>29</v>
      </c>
      <c r="D118" s="3">
        <v>75000</v>
      </c>
      <c r="E118" s="3">
        <v>103601</v>
      </c>
      <c r="F118" s="3"/>
      <c r="G118" s="3"/>
      <c r="H118" s="3"/>
      <c r="I118" s="3"/>
      <c r="J118" s="20">
        <f t="shared" si="34"/>
        <v>103601</v>
      </c>
      <c r="K118" s="108">
        <v>28601</v>
      </c>
      <c r="L118" s="3">
        <f t="shared" si="35"/>
        <v>75000</v>
      </c>
    </row>
    <row r="119" spans="1:12" x14ac:dyDescent="0.3">
      <c r="A119" s="254"/>
      <c r="B119" s="261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08">
        <v>0</v>
      </c>
      <c r="L119" s="3">
        <f t="shared" si="35"/>
        <v>0</v>
      </c>
    </row>
    <row r="120" spans="1:12" x14ac:dyDescent="0.3">
      <c r="A120" s="254"/>
      <c r="B120" s="261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0">
        <f t="shared" si="36"/>
        <v>3273501</v>
      </c>
      <c r="L120" s="7">
        <f t="shared" si="36"/>
        <v>1920727</v>
      </c>
    </row>
    <row r="121" spans="1:12" x14ac:dyDescent="0.3">
      <c r="A121" s="254"/>
      <c r="B121" s="261"/>
      <c r="C121" s="82" t="s">
        <v>31</v>
      </c>
      <c r="D121" s="83">
        <v>1046402</v>
      </c>
      <c r="E121" s="83">
        <v>1049135</v>
      </c>
      <c r="F121" s="83"/>
      <c r="G121" s="83"/>
      <c r="H121" s="83"/>
      <c r="I121" s="83"/>
      <c r="J121" s="84">
        <f t="shared" ref="J121:J129" si="37">E121+F121+G121+H121+I121</f>
        <v>1049135</v>
      </c>
      <c r="K121" s="111">
        <v>685261</v>
      </c>
      <c r="L121" s="85">
        <f t="shared" ref="L121:L129" si="38">J121-K121</f>
        <v>363874</v>
      </c>
    </row>
    <row r="122" spans="1:12" x14ac:dyDescent="0.3">
      <c r="A122" s="254"/>
      <c r="B122" s="261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08">
        <v>0</v>
      </c>
      <c r="L122" s="3">
        <f t="shared" si="38"/>
        <v>50000</v>
      </c>
    </row>
    <row r="123" spans="1:12" x14ac:dyDescent="0.3">
      <c r="A123" s="254"/>
      <c r="B123" s="261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08">
        <v>0</v>
      </c>
      <c r="L123" s="3">
        <f t="shared" si="38"/>
        <v>100000</v>
      </c>
    </row>
    <row r="124" spans="1:12" x14ac:dyDescent="0.3">
      <c r="A124" s="254"/>
      <c r="B124" s="261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08">
        <v>0</v>
      </c>
      <c r="L124" s="3">
        <f t="shared" si="38"/>
        <v>116000</v>
      </c>
    </row>
    <row r="125" spans="1:12" x14ac:dyDescent="0.3">
      <c r="A125" s="254"/>
      <c r="B125" s="261"/>
      <c r="C125" s="2" t="s">
        <v>38</v>
      </c>
      <c r="D125" s="3">
        <v>50000</v>
      </c>
      <c r="E125" s="3">
        <v>50000</v>
      </c>
      <c r="F125" s="3">
        <v>-3400</v>
      </c>
      <c r="G125" s="3"/>
      <c r="H125" s="3"/>
      <c r="I125" s="3"/>
      <c r="J125" s="20">
        <f t="shared" si="37"/>
        <v>46600</v>
      </c>
      <c r="K125" s="108">
        <v>0</v>
      </c>
      <c r="L125" s="3">
        <f t="shared" si="38"/>
        <v>46600</v>
      </c>
    </row>
    <row r="126" spans="1:12" x14ac:dyDescent="0.3">
      <c r="A126" s="254"/>
      <c r="B126" s="261"/>
      <c r="C126" s="2" t="s">
        <v>40</v>
      </c>
      <c r="D126" s="3">
        <v>16800</v>
      </c>
      <c r="E126" s="3">
        <v>16800</v>
      </c>
      <c r="F126" s="3">
        <v>3400</v>
      </c>
      <c r="G126" s="3"/>
      <c r="H126" s="3"/>
      <c r="I126" s="3"/>
      <c r="J126" s="20">
        <f t="shared" si="37"/>
        <v>20200</v>
      </c>
      <c r="K126" s="108">
        <v>6800</v>
      </c>
      <c r="L126" s="3">
        <f t="shared" si="38"/>
        <v>13400</v>
      </c>
    </row>
    <row r="127" spans="1:12" x14ac:dyDescent="0.3">
      <c r="A127" s="254"/>
      <c r="B127" s="261"/>
      <c r="C127" s="2" t="s">
        <v>41</v>
      </c>
      <c r="D127" s="3">
        <v>0</v>
      </c>
      <c r="E127" s="3">
        <v>40280</v>
      </c>
      <c r="F127" s="3"/>
      <c r="G127" s="3"/>
      <c r="H127" s="3"/>
      <c r="I127" s="3"/>
      <c r="J127" s="20">
        <f t="shared" si="37"/>
        <v>40280</v>
      </c>
      <c r="K127" s="108">
        <v>39060</v>
      </c>
      <c r="L127" s="3">
        <f t="shared" si="38"/>
        <v>1220</v>
      </c>
    </row>
    <row r="128" spans="1:12" x14ac:dyDescent="0.3">
      <c r="A128" s="254"/>
      <c r="B128" s="261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08">
        <v>98375</v>
      </c>
      <c r="L128" s="3">
        <f t="shared" si="38"/>
        <v>135345</v>
      </c>
    </row>
    <row r="129" spans="1:12" x14ac:dyDescent="0.3">
      <c r="A129" s="254"/>
      <c r="B129" s="261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08">
        <v>10545</v>
      </c>
      <c r="L129" s="3">
        <f t="shared" si="38"/>
        <v>83955</v>
      </c>
    </row>
    <row r="130" spans="1:12" x14ac:dyDescent="0.3">
      <c r="A130" s="254"/>
      <c r="B130" s="261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0">
        <f t="shared" si="39"/>
        <v>154780</v>
      </c>
      <c r="L130" s="7">
        <f t="shared" si="39"/>
        <v>546520</v>
      </c>
    </row>
    <row r="131" spans="1:12" x14ac:dyDescent="0.3">
      <c r="A131" s="262" t="s">
        <v>64</v>
      </c>
      <c r="B131" s="264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08">
        <v>26400</v>
      </c>
      <c r="L131" s="3">
        <f t="shared" ref="L131:L134" si="41">J131-K131</f>
        <v>13200</v>
      </c>
    </row>
    <row r="132" spans="1:12" x14ac:dyDescent="0.3">
      <c r="A132" s="263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08">
        <v>5083</v>
      </c>
      <c r="L132" s="3">
        <f t="shared" si="41"/>
        <v>2276</v>
      </c>
    </row>
    <row r="133" spans="1:12" x14ac:dyDescent="0.3">
      <c r="A133" s="262" t="s">
        <v>65</v>
      </c>
      <c r="B133" s="264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08">
        <v>905488</v>
      </c>
      <c r="L133" s="3">
        <f t="shared" si="41"/>
        <v>451670</v>
      </c>
    </row>
    <row r="134" spans="1:12" x14ac:dyDescent="0.3">
      <c r="A134" s="263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08">
        <v>174303</v>
      </c>
      <c r="L134" s="3">
        <f t="shared" si="41"/>
        <v>79024</v>
      </c>
    </row>
    <row r="135" spans="1:12" x14ac:dyDescent="0.3">
      <c r="A135" s="346" t="s">
        <v>78</v>
      </c>
      <c r="B135" s="347"/>
      <c r="C135" s="348"/>
      <c r="D135" s="122">
        <f>SUM(D120+D121+D130+D131+D132+D133+D134)</f>
        <v>8585356</v>
      </c>
      <c r="E135" s="122">
        <v>8602107</v>
      </c>
      <c r="F135" s="122">
        <f t="shared" ref="F135:L135" si="42">SUM(F120+F121+F130+F131+F132+F133+F134)</f>
        <v>0</v>
      </c>
      <c r="G135" s="122">
        <f t="shared" si="42"/>
        <v>0</v>
      </c>
      <c r="H135" s="122">
        <f t="shared" si="42"/>
        <v>0</v>
      </c>
      <c r="I135" s="122">
        <f t="shared" si="42"/>
        <v>0</v>
      </c>
      <c r="J135" s="122">
        <f t="shared" si="42"/>
        <v>8602107</v>
      </c>
      <c r="K135" s="124">
        <f t="shared" si="42"/>
        <v>5224816</v>
      </c>
      <c r="L135" s="122">
        <f t="shared" si="42"/>
        <v>3377291</v>
      </c>
    </row>
    <row r="136" spans="1:12" x14ac:dyDescent="0.3">
      <c r="A136" s="254" t="s">
        <v>14</v>
      </c>
      <c r="B136" s="261" t="s">
        <v>23</v>
      </c>
      <c r="C136" s="2" t="s">
        <v>24</v>
      </c>
      <c r="D136" s="3">
        <v>4756797</v>
      </c>
      <c r="E136" s="3">
        <v>4668070</v>
      </c>
      <c r="F136" s="3"/>
      <c r="G136" s="3"/>
      <c r="H136" s="3"/>
      <c r="I136" s="3"/>
      <c r="J136" s="20">
        <f t="shared" ref="J136:J142" si="43">E136+F136+G136+H136+I136</f>
        <v>4668070</v>
      </c>
      <c r="K136" s="108">
        <v>2971577</v>
      </c>
      <c r="L136" s="3">
        <f t="shared" ref="L136:L142" si="44">J136-K136</f>
        <v>1696493</v>
      </c>
    </row>
    <row r="137" spans="1:12" x14ac:dyDescent="0.3">
      <c r="A137" s="254"/>
      <c r="B137" s="261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08">
        <v>100000</v>
      </c>
      <c r="L137" s="3">
        <f t="shared" si="44"/>
        <v>100000</v>
      </c>
    </row>
    <row r="138" spans="1:12" x14ac:dyDescent="0.3">
      <c r="A138" s="254"/>
      <c r="B138" s="261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08">
        <v>0</v>
      </c>
      <c r="L138" s="3">
        <f t="shared" si="44"/>
        <v>10000</v>
      </c>
    </row>
    <row r="139" spans="1:12" x14ac:dyDescent="0.3">
      <c r="A139" s="254"/>
      <c r="B139" s="261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08">
        <v>128878</v>
      </c>
      <c r="L139" s="3">
        <f t="shared" si="44"/>
        <v>126122</v>
      </c>
    </row>
    <row r="140" spans="1:12" x14ac:dyDescent="0.3">
      <c r="A140" s="254"/>
      <c r="B140" s="261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08">
        <v>12000</v>
      </c>
      <c r="L140" s="3">
        <f t="shared" si="44"/>
        <v>12000</v>
      </c>
    </row>
    <row r="141" spans="1:12" x14ac:dyDescent="0.3">
      <c r="A141" s="254"/>
      <c r="B141" s="261"/>
      <c r="C141" s="2" t="s">
        <v>29</v>
      </c>
      <c r="D141" s="3">
        <v>0</v>
      </c>
      <c r="E141" s="3">
        <v>98307</v>
      </c>
      <c r="F141" s="3"/>
      <c r="G141" s="3"/>
      <c r="H141" s="3"/>
      <c r="I141" s="3"/>
      <c r="J141" s="20">
        <f t="shared" si="43"/>
        <v>98307</v>
      </c>
      <c r="K141" s="108">
        <v>98307</v>
      </c>
      <c r="L141" s="3">
        <f t="shared" si="44"/>
        <v>0</v>
      </c>
    </row>
    <row r="142" spans="1:12" x14ac:dyDescent="0.3">
      <c r="A142" s="254"/>
      <c r="B142" s="261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08">
        <v>0</v>
      </c>
      <c r="L142" s="3">
        <f t="shared" si="44"/>
        <v>0</v>
      </c>
    </row>
    <row r="143" spans="1:12" x14ac:dyDescent="0.3">
      <c r="A143" s="254"/>
      <c r="B143" s="261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0">
        <f t="shared" si="45"/>
        <v>3310762</v>
      </c>
      <c r="L143" s="7">
        <f t="shared" si="45"/>
        <v>1944615</v>
      </c>
    </row>
    <row r="144" spans="1:12" x14ac:dyDescent="0.3">
      <c r="A144" s="254"/>
      <c r="B144" s="261"/>
      <c r="C144" s="82" t="s">
        <v>31</v>
      </c>
      <c r="D144" s="83">
        <v>1025121</v>
      </c>
      <c r="E144" s="83">
        <v>1026989</v>
      </c>
      <c r="F144" s="83"/>
      <c r="G144" s="83"/>
      <c r="H144" s="83"/>
      <c r="I144" s="83"/>
      <c r="J144" s="84">
        <f t="shared" ref="J144:J152" si="46">E144+F144+G144+H144+I144</f>
        <v>1026989</v>
      </c>
      <c r="K144" s="111">
        <v>667534</v>
      </c>
      <c r="L144" s="85">
        <f t="shared" ref="L144:L152" si="47">J144-K144</f>
        <v>359455</v>
      </c>
    </row>
    <row r="145" spans="1:12" x14ac:dyDescent="0.3">
      <c r="A145" s="254"/>
      <c r="B145" s="261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08">
        <v>0</v>
      </c>
      <c r="L145" s="3">
        <f t="shared" si="47"/>
        <v>80000</v>
      </c>
    </row>
    <row r="146" spans="1:12" x14ac:dyDescent="0.3">
      <c r="A146" s="254"/>
      <c r="B146" s="261"/>
      <c r="C146" s="2" t="s">
        <v>33</v>
      </c>
      <c r="D146" s="3">
        <v>110000</v>
      </c>
      <c r="E146" s="3">
        <v>110000</v>
      </c>
      <c r="F146" s="3">
        <v>-20000</v>
      </c>
      <c r="G146" s="3"/>
      <c r="H146" s="3"/>
      <c r="I146" s="3"/>
      <c r="J146" s="20">
        <f t="shared" si="46"/>
        <v>90000</v>
      </c>
      <c r="K146" s="108">
        <v>0</v>
      </c>
      <c r="L146" s="3">
        <f t="shared" si="47"/>
        <v>90000</v>
      </c>
    </row>
    <row r="147" spans="1:12" x14ac:dyDescent="0.3">
      <c r="A147" s="254"/>
      <c r="B147" s="261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08">
        <v>0</v>
      </c>
      <c r="L147" s="3">
        <f t="shared" si="47"/>
        <v>136000</v>
      </c>
    </row>
    <row r="148" spans="1:12" x14ac:dyDescent="0.3">
      <c r="A148" s="254"/>
      <c r="B148" s="261"/>
      <c r="C148" s="2" t="s">
        <v>38</v>
      </c>
      <c r="D148" s="3">
        <v>144000</v>
      </c>
      <c r="E148" s="3">
        <v>144000</v>
      </c>
      <c r="F148" s="3">
        <v>-3400</v>
      </c>
      <c r="G148" s="3"/>
      <c r="H148" s="3"/>
      <c r="I148" s="3"/>
      <c r="J148" s="20">
        <f t="shared" si="46"/>
        <v>140600</v>
      </c>
      <c r="K148" s="108">
        <v>0</v>
      </c>
      <c r="L148" s="3">
        <f t="shared" si="47"/>
        <v>140600</v>
      </c>
    </row>
    <row r="149" spans="1:12" x14ac:dyDescent="0.3">
      <c r="A149" s="254"/>
      <c r="B149" s="261"/>
      <c r="C149" s="2" t="s">
        <v>40</v>
      </c>
      <c r="D149" s="3">
        <v>16800</v>
      </c>
      <c r="E149" s="3">
        <v>16800</v>
      </c>
      <c r="F149" s="3">
        <v>3400</v>
      </c>
      <c r="G149" s="3"/>
      <c r="H149" s="3"/>
      <c r="I149" s="3"/>
      <c r="J149" s="20">
        <f t="shared" si="46"/>
        <v>20200</v>
      </c>
      <c r="K149" s="108">
        <v>6800</v>
      </c>
      <c r="L149" s="3">
        <f t="shared" si="47"/>
        <v>13400</v>
      </c>
    </row>
    <row r="150" spans="1:12" x14ac:dyDescent="0.3">
      <c r="A150" s="254"/>
      <c r="B150" s="261"/>
      <c r="C150" s="2" t="s">
        <v>41</v>
      </c>
      <c r="D150" s="3">
        <v>40000</v>
      </c>
      <c r="E150" s="3">
        <v>60280</v>
      </c>
      <c r="F150" s="3">
        <v>20000</v>
      </c>
      <c r="G150" s="3"/>
      <c r="H150" s="3"/>
      <c r="I150" s="3"/>
      <c r="J150" s="20">
        <f t="shared" si="46"/>
        <v>80280</v>
      </c>
      <c r="K150" s="108">
        <v>79060</v>
      </c>
      <c r="L150" s="3">
        <f t="shared" si="47"/>
        <v>1220</v>
      </c>
    </row>
    <row r="151" spans="1:12" x14ac:dyDescent="0.3">
      <c r="A151" s="254"/>
      <c r="B151" s="261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08">
        <v>69520</v>
      </c>
      <c r="L151" s="3">
        <f t="shared" si="47"/>
        <v>74200</v>
      </c>
    </row>
    <row r="152" spans="1:12" x14ac:dyDescent="0.3">
      <c r="A152" s="254"/>
      <c r="B152" s="261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08">
        <v>10547</v>
      </c>
      <c r="L152" s="3">
        <f t="shared" si="47"/>
        <v>130933</v>
      </c>
    </row>
    <row r="153" spans="1:12" x14ac:dyDescent="0.3">
      <c r="A153" s="254"/>
      <c r="B153" s="261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0">
        <f t="shared" si="48"/>
        <v>165927</v>
      </c>
      <c r="L153" s="7">
        <f t="shared" si="48"/>
        <v>666353</v>
      </c>
    </row>
    <row r="154" spans="1:12" x14ac:dyDescent="0.3">
      <c r="A154" s="262" t="s">
        <v>66</v>
      </c>
      <c r="B154" s="264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08">
        <v>543973</v>
      </c>
      <c r="L154" s="3">
        <f t="shared" ref="L154:L155" si="50">J154-K154</f>
        <v>288655</v>
      </c>
    </row>
    <row r="155" spans="1:12" x14ac:dyDescent="0.3">
      <c r="A155" s="263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08">
        <v>104684</v>
      </c>
      <c r="L155" s="3">
        <f t="shared" si="50"/>
        <v>50726</v>
      </c>
    </row>
    <row r="156" spans="1:12" x14ac:dyDescent="0.3">
      <c r="A156" s="346" t="s">
        <v>79</v>
      </c>
      <c r="B156" s="347"/>
      <c r="C156" s="348"/>
      <c r="D156" s="122">
        <f>SUM(D143+D144+D153+D154+D155)</f>
        <v>8091236</v>
      </c>
      <c r="E156" s="122">
        <v>8102684</v>
      </c>
      <c r="F156" s="122">
        <f t="shared" ref="F156:L156" si="51">SUM(F143+F144+F153+F154+F155)</f>
        <v>0</v>
      </c>
      <c r="G156" s="122">
        <f t="shared" si="51"/>
        <v>0</v>
      </c>
      <c r="H156" s="122">
        <f t="shared" si="51"/>
        <v>0</v>
      </c>
      <c r="I156" s="122">
        <f t="shared" si="51"/>
        <v>0</v>
      </c>
      <c r="J156" s="122">
        <f t="shared" si="51"/>
        <v>8102684</v>
      </c>
      <c r="K156" s="124">
        <f t="shared" si="51"/>
        <v>4792880</v>
      </c>
      <c r="L156" s="122">
        <f t="shared" si="51"/>
        <v>3309804</v>
      </c>
    </row>
    <row r="157" spans="1:12" x14ac:dyDescent="0.3">
      <c r="A157" s="254" t="s">
        <v>55</v>
      </c>
      <c r="B157" s="261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08">
        <v>3250996</v>
      </c>
      <c r="L157" s="3">
        <f t="shared" ref="L157:L162" si="53">J157-K157</f>
        <v>1804873</v>
      </c>
    </row>
    <row r="158" spans="1:12" x14ac:dyDescent="0.3">
      <c r="A158" s="254"/>
      <c r="B158" s="261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08">
        <v>212500</v>
      </c>
      <c r="L158" s="3">
        <f t="shared" si="53"/>
        <v>212500</v>
      </c>
    </row>
    <row r="159" spans="1:12" x14ac:dyDescent="0.3">
      <c r="A159" s="254"/>
      <c r="B159" s="261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08">
        <v>0</v>
      </c>
      <c r="L159" s="3">
        <f t="shared" si="53"/>
        <v>10000</v>
      </c>
    </row>
    <row r="160" spans="1:12" x14ac:dyDescent="0.3">
      <c r="A160" s="254"/>
      <c r="B160" s="261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08">
        <v>12000</v>
      </c>
      <c r="L160" s="3">
        <f t="shared" si="53"/>
        <v>12000</v>
      </c>
    </row>
    <row r="161" spans="1:12" x14ac:dyDescent="0.3">
      <c r="A161" s="254"/>
      <c r="B161" s="261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08">
        <v>0</v>
      </c>
      <c r="L161" s="3">
        <f t="shared" si="53"/>
        <v>75000</v>
      </c>
    </row>
    <row r="162" spans="1:12" x14ac:dyDescent="0.3">
      <c r="A162" s="254"/>
      <c r="B162" s="261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08">
        <v>0</v>
      </c>
      <c r="L162" s="3">
        <f t="shared" si="53"/>
        <v>0</v>
      </c>
    </row>
    <row r="163" spans="1:12" x14ac:dyDescent="0.3">
      <c r="A163" s="254"/>
      <c r="B163" s="261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0">
        <f t="shared" si="54"/>
        <v>3475496</v>
      </c>
      <c r="L163" s="7">
        <f t="shared" si="54"/>
        <v>2114373</v>
      </c>
    </row>
    <row r="164" spans="1:12" x14ac:dyDescent="0.3">
      <c r="A164" s="254"/>
      <c r="B164" s="261"/>
      <c r="C164" s="82" t="s">
        <v>31</v>
      </c>
      <c r="D164" s="83">
        <v>1124913</v>
      </c>
      <c r="E164" s="83">
        <v>1124913</v>
      </c>
      <c r="F164" s="83"/>
      <c r="G164" s="83"/>
      <c r="H164" s="83"/>
      <c r="I164" s="83"/>
      <c r="J164" s="84">
        <f t="shared" ref="J164:J173" si="55">E164+F164+G164+H164+I164</f>
        <v>1124913</v>
      </c>
      <c r="K164" s="111">
        <v>724385</v>
      </c>
      <c r="L164" s="85">
        <f t="shared" ref="L164:L173" si="56">J164-K164</f>
        <v>400528</v>
      </c>
    </row>
    <row r="165" spans="1:12" x14ac:dyDescent="0.3">
      <c r="A165" s="254"/>
      <c r="B165" s="261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08">
        <v>0</v>
      </c>
      <c r="L165" s="3">
        <f t="shared" si="56"/>
        <v>100000</v>
      </c>
    </row>
    <row r="166" spans="1:12" x14ac:dyDescent="0.3">
      <c r="A166" s="254"/>
      <c r="B166" s="261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08">
        <v>4536</v>
      </c>
      <c r="L166" s="3">
        <f t="shared" si="56"/>
        <v>95464</v>
      </c>
    </row>
    <row r="167" spans="1:12" x14ac:dyDescent="0.3">
      <c r="A167" s="254"/>
      <c r="B167" s="261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08">
        <v>0</v>
      </c>
      <c r="L167" s="3">
        <f t="shared" si="56"/>
        <v>100000</v>
      </c>
    </row>
    <row r="168" spans="1:12" x14ac:dyDescent="0.3">
      <c r="A168" s="254"/>
      <c r="B168" s="261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08">
        <v>0</v>
      </c>
      <c r="L168" s="3">
        <f t="shared" si="56"/>
        <v>50000</v>
      </c>
    </row>
    <row r="169" spans="1:12" x14ac:dyDescent="0.3">
      <c r="A169" s="254"/>
      <c r="B169" s="261"/>
      <c r="C169" s="10" t="s">
        <v>38</v>
      </c>
      <c r="D169" s="24">
        <v>140000</v>
      </c>
      <c r="E169" s="24">
        <v>140000</v>
      </c>
      <c r="F169" s="135">
        <v>-3400</v>
      </c>
      <c r="G169" s="11"/>
      <c r="H169" s="11"/>
      <c r="I169" s="11"/>
      <c r="J169" s="20">
        <f t="shared" si="55"/>
        <v>136600</v>
      </c>
      <c r="K169" s="108">
        <v>30190</v>
      </c>
      <c r="L169" s="3">
        <f t="shared" si="56"/>
        <v>106410</v>
      </c>
    </row>
    <row r="170" spans="1:12" x14ac:dyDescent="0.3">
      <c r="A170" s="254"/>
      <c r="B170" s="261"/>
      <c r="C170" s="10" t="s">
        <v>40</v>
      </c>
      <c r="D170" s="24">
        <v>15000</v>
      </c>
      <c r="E170" s="24">
        <v>15000</v>
      </c>
      <c r="F170" s="135">
        <v>3400</v>
      </c>
      <c r="G170" s="11"/>
      <c r="H170" s="11"/>
      <c r="I170" s="11"/>
      <c r="J170" s="20">
        <f t="shared" si="55"/>
        <v>18400</v>
      </c>
      <c r="K170" s="108">
        <v>6350</v>
      </c>
      <c r="L170" s="3">
        <f t="shared" si="56"/>
        <v>12050</v>
      </c>
    </row>
    <row r="171" spans="1:12" x14ac:dyDescent="0.3">
      <c r="A171" s="254"/>
      <c r="B171" s="261"/>
      <c r="C171" s="10" t="s">
        <v>41</v>
      </c>
      <c r="D171" s="24">
        <v>80000</v>
      </c>
      <c r="E171" s="24">
        <v>94188</v>
      </c>
      <c r="F171" s="11"/>
      <c r="G171" s="11"/>
      <c r="H171" s="11"/>
      <c r="I171" s="11"/>
      <c r="J171" s="20">
        <f t="shared" si="55"/>
        <v>94188</v>
      </c>
      <c r="K171" s="108">
        <v>92968</v>
      </c>
      <c r="L171" s="3">
        <f t="shared" si="56"/>
        <v>1220</v>
      </c>
    </row>
    <row r="172" spans="1:12" x14ac:dyDescent="0.3">
      <c r="A172" s="254"/>
      <c r="B172" s="261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08">
        <v>190640</v>
      </c>
      <c r="L172" s="3">
        <f t="shared" si="56"/>
        <v>49360</v>
      </c>
    </row>
    <row r="173" spans="1:12" x14ac:dyDescent="0.3">
      <c r="A173" s="254"/>
      <c r="B173" s="261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5"/>
        <v>128712</v>
      </c>
      <c r="K173" s="108">
        <v>21788</v>
      </c>
      <c r="L173" s="3">
        <f t="shared" si="56"/>
        <v>106924</v>
      </c>
    </row>
    <row r="174" spans="1:12" x14ac:dyDescent="0.3">
      <c r="A174" s="254"/>
      <c r="B174" s="261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0">
        <f t="shared" si="57"/>
        <v>346472</v>
      </c>
      <c r="L174" s="7">
        <f t="shared" si="57"/>
        <v>621428</v>
      </c>
    </row>
    <row r="175" spans="1:12" x14ac:dyDescent="0.3">
      <c r="A175" s="262" t="s">
        <v>67</v>
      </c>
      <c r="B175" s="264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08">
        <v>50200</v>
      </c>
      <c r="L175" s="3">
        <f t="shared" ref="L175:L191" si="59">J175-K175</f>
        <v>107000</v>
      </c>
    </row>
    <row r="176" spans="1:12" x14ac:dyDescent="0.3">
      <c r="A176" s="263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08">
        <v>9685</v>
      </c>
      <c r="L176" s="3">
        <f t="shared" si="59"/>
        <v>19528</v>
      </c>
    </row>
    <row r="177" spans="1:12" x14ac:dyDescent="0.3">
      <c r="A177" s="262" t="s">
        <v>75</v>
      </c>
      <c r="B177" s="264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08">
        <v>1094647</v>
      </c>
      <c r="L177" s="3">
        <f t="shared" si="59"/>
        <v>509862</v>
      </c>
    </row>
    <row r="178" spans="1:12" x14ac:dyDescent="0.3">
      <c r="A178" s="263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08">
        <v>210705</v>
      </c>
      <c r="L178" s="3">
        <f t="shared" si="59"/>
        <v>88414</v>
      </c>
    </row>
    <row r="179" spans="1:12" x14ac:dyDescent="0.3">
      <c r="A179" s="345" t="s">
        <v>80</v>
      </c>
      <c r="B179" s="345"/>
      <c r="C179" s="345"/>
      <c r="D179" s="123">
        <f>SUM(D163+D164+D174+D175+D176+D177+D178)</f>
        <v>9772723</v>
      </c>
      <c r="E179" s="123">
        <v>9772723</v>
      </c>
      <c r="F179" s="123">
        <f t="shared" ref="F179:L179" si="60">SUM(F163+F164+F174+F175+F176+F177+F178)</f>
        <v>0</v>
      </c>
      <c r="G179" s="123">
        <f t="shared" si="60"/>
        <v>0</v>
      </c>
      <c r="H179" s="123">
        <f t="shared" si="60"/>
        <v>0</v>
      </c>
      <c r="I179" s="123">
        <f t="shared" si="60"/>
        <v>0</v>
      </c>
      <c r="J179" s="123">
        <f t="shared" si="60"/>
        <v>9772723</v>
      </c>
      <c r="K179" s="124">
        <f t="shared" si="60"/>
        <v>5911590</v>
      </c>
      <c r="L179" s="123">
        <f t="shared" si="60"/>
        <v>3861133</v>
      </c>
    </row>
    <row r="180" spans="1:12" x14ac:dyDescent="0.3">
      <c r="A180" s="254" t="s">
        <v>15</v>
      </c>
      <c r="B180" s="264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3">
      <c r="A181" s="254"/>
      <c r="B181" s="268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3">
      <c r="A182" s="254"/>
      <c r="B182" s="268"/>
      <c r="C182" s="6" t="s">
        <v>53</v>
      </c>
      <c r="D182" s="7">
        <f>D180+D181</f>
        <v>11144060</v>
      </c>
      <c r="E182" s="7">
        <v>11144060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3">
        <f t="shared" si="61"/>
        <v>8187749</v>
      </c>
      <c r="L182" s="7">
        <f t="shared" si="61"/>
        <v>2956311</v>
      </c>
    </row>
    <row r="183" spans="1:12" x14ac:dyDescent="0.3">
      <c r="A183" s="254"/>
      <c r="B183" s="268"/>
      <c r="C183" s="82" t="s">
        <v>31</v>
      </c>
      <c r="D183" s="83">
        <v>2295657</v>
      </c>
      <c r="E183" s="83">
        <v>6570207</v>
      </c>
      <c r="F183" s="83"/>
      <c r="G183" s="83"/>
      <c r="H183" s="83"/>
      <c r="I183" s="83"/>
      <c r="J183" s="85">
        <f t="shared" si="58"/>
        <v>6570207</v>
      </c>
      <c r="K183" s="111">
        <v>4345532</v>
      </c>
      <c r="L183" s="85">
        <f t="shared" si="59"/>
        <v>2224675</v>
      </c>
    </row>
    <row r="184" spans="1:12" x14ac:dyDescent="0.3">
      <c r="A184" s="254"/>
      <c r="B184" s="268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8"/>
        <v>232959</v>
      </c>
      <c r="K184" s="108">
        <v>232959</v>
      </c>
      <c r="L184" s="3">
        <f t="shared" si="59"/>
        <v>0</v>
      </c>
    </row>
    <row r="185" spans="1:12" x14ac:dyDescent="0.3">
      <c r="A185" s="254"/>
      <c r="B185" s="268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08">
        <v>0</v>
      </c>
      <c r="L185" s="3">
        <f t="shared" si="59"/>
        <v>230000</v>
      </c>
    </row>
    <row r="186" spans="1:12" x14ac:dyDescent="0.3">
      <c r="A186" s="254"/>
      <c r="B186" s="268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08">
        <v>0</v>
      </c>
      <c r="L186" s="3">
        <f t="shared" si="59"/>
        <v>14850000</v>
      </c>
    </row>
    <row r="187" spans="1:12" x14ac:dyDescent="0.3">
      <c r="A187" s="254"/>
      <c r="B187" s="268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8"/>
        <v>12427045</v>
      </c>
      <c r="K187" s="108">
        <v>5250010</v>
      </c>
      <c r="L187" s="3">
        <f t="shared" si="59"/>
        <v>7177035</v>
      </c>
    </row>
    <row r="188" spans="1:12" x14ac:dyDescent="0.3">
      <c r="A188" s="254"/>
      <c r="B188" s="268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08">
        <v>38298</v>
      </c>
      <c r="L188" s="3">
        <f t="shared" si="59"/>
        <v>191702</v>
      </c>
    </row>
    <row r="189" spans="1:12" x14ac:dyDescent="0.3">
      <c r="A189" s="254"/>
      <c r="B189" s="268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08">
        <v>0</v>
      </c>
      <c r="L189" s="3">
        <f t="shared" si="59"/>
        <v>230000</v>
      </c>
    </row>
    <row r="190" spans="1:12" x14ac:dyDescent="0.3">
      <c r="A190" s="254"/>
      <c r="B190" s="268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08">
        <v>1480399</v>
      </c>
      <c r="L190" s="3">
        <f t="shared" si="59"/>
        <v>1965148</v>
      </c>
    </row>
    <row r="191" spans="1:12" x14ac:dyDescent="0.3">
      <c r="A191" s="254"/>
      <c r="B191" s="268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08">
        <v>0</v>
      </c>
      <c r="L191" s="3">
        <f t="shared" si="59"/>
        <v>229990</v>
      </c>
    </row>
    <row r="192" spans="1:12" x14ac:dyDescent="0.3">
      <c r="A192" s="254"/>
      <c r="B192" s="268"/>
      <c r="C192" s="6" t="s">
        <v>49</v>
      </c>
      <c r="D192" s="7">
        <f>SUM(D184:D191)</f>
        <v>46650091</v>
      </c>
      <c r="E192" s="7">
        <v>25650091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0">
        <f t="shared" si="62"/>
        <v>7001666</v>
      </c>
      <c r="L192" s="7">
        <f t="shared" si="62"/>
        <v>24873875</v>
      </c>
    </row>
    <row r="193" spans="1:12" x14ac:dyDescent="0.3">
      <c r="A193" s="254"/>
      <c r="B193" s="268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08">
        <v>0</v>
      </c>
      <c r="L193" s="3">
        <f t="shared" ref="L193:L195" si="64">J193-K193</f>
        <v>0</v>
      </c>
    </row>
    <row r="194" spans="1:12" x14ac:dyDescent="0.3">
      <c r="A194" s="254"/>
      <c r="B194" s="268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08">
        <v>0</v>
      </c>
      <c r="L194" s="3">
        <f t="shared" si="64"/>
        <v>3740</v>
      </c>
    </row>
    <row r="195" spans="1:12" x14ac:dyDescent="0.3">
      <c r="A195" s="254"/>
      <c r="B195" s="268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08">
        <v>0</v>
      </c>
      <c r="L195" s="3">
        <f t="shared" si="64"/>
        <v>1010</v>
      </c>
    </row>
    <row r="196" spans="1:12" x14ac:dyDescent="0.3">
      <c r="A196" s="254"/>
      <c r="B196" s="268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0">
        <f t="shared" si="65"/>
        <v>0</v>
      </c>
      <c r="L196" s="7">
        <f t="shared" si="65"/>
        <v>4750</v>
      </c>
    </row>
    <row r="197" spans="1:12" x14ac:dyDescent="0.3">
      <c r="A197" s="254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08">
        <v>10500000</v>
      </c>
      <c r="L197" s="3">
        <f t="shared" ref="L197" si="67">J197-K197</f>
        <v>0</v>
      </c>
    </row>
    <row r="198" spans="1:12" x14ac:dyDescent="0.3">
      <c r="A198" s="346" t="s">
        <v>81</v>
      </c>
      <c r="B198" s="347"/>
      <c r="C198" s="348"/>
      <c r="D198" s="122">
        <f>SUM(D182+D183+D192+D196+D197)</f>
        <v>60094558</v>
      </c>
      <c r="E198" s="122">
        <v>60094558</v>
      </c>
      <c r="F198" s="122">
        <f t="shared" ref="F198:L198" si="68">SUM(F182+F183+F192+F196+F197)</f>
        <v>0</v>
      </c>
      <c r="G198" s="122">
        <f t="shared" si="68"/>
        <v>0</v>
      </c>
      <c r="H198" s="122">
        <f t="shared" si="68"/>
        <v>0</v>
      </c>
      <c r="I198" s="122">
        <f t="shared" si="68"/>
        <v>0</v>
      </c>
      <c r="J198" s="122">
        <f t="shared" si="68"/>
        <v>60094558</v>
      </c>
      <c r="K198" s="124">
        <f t="shared" si="68"/>
        <v>30034947</v>
      </c>
      <c r="L198" s="122">
        <f t="shared" si="68"/>
        <v>30059611</v>
      </c>
    </row>
    <row r="199" spans="1:12" x14ac:dyDescent="0.3">
      <c r="A199" s="285" t="s">
        <v>85</v>
      </c>
      <c r="B199" s="264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08">
        <v>5940880</v>
      </c>
      <c r="L199" s="3">
        <f t="shared" ref="L199:L204" si="70">J199-K199</f>
        <v>3721882</v>
      </c>
    </row>
    <row r="200" spans="1:12" x14ac:dyDescent="0.3">
      <c r="A200" s="285"/>
      <c r="B200" s="268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08">
        <v>200000</v>
      </c>
      <c r="L200" s="3">
        <f t="shared" si="70"/>
        <v>200000</v>
      </c>
    </row>
    <row r="201" spans="1:12" x14ac:dyDescent="0.3">
      <c r="A201" s="285"/>
      <c r="B201" s="268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08">
        <v>0</v>
      </c>
      <c r="L201" s="3">
        <f t="shared" si="70"/>
        <v>20000</v>
      </c>
    </row>
    <row r="202" spans="1:12" x14ac:dyDescent="0.3">
      <c r="A202" s="285"/>
      <c r="B202" s="268"/>
      <c r="C202" s="2" t="s">
        <v>27</v>
      </c>
      <c r="D202" s="3">
        <v>75000</v>
      </c>
      <c r="E202" s="3">
        <v>86016</v>
      </c>
      <c r="F202" s="3">
        <v>4896</v>
      </c>
      <c r="G202" s="3"/>
      <c r="H202" s="3"/>
      <c r="I202" s="3"/>
      <c r="J202" s="20">
        <f t="shared" si="69"/>
        <v>90912</v>
      </c>
      <c r="K202" s="108">
        <v>15912</v>
      </c>
      <c r="L202" s="3">
        <f t="shared" si="70"/>
        <v>75000</v>
      </c>
    </row>
    <row r="203" spans="1:12" x14ac:dyDescent="0.3">
      <c r="A203" s="285"/>
      <c r="B203" s="268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08">
        <v>24000</v>
      </c>
      <c r="L203" s="3">
        <f t="shared" si="70"/>
        <v>24000</v>
      </c>
    </row>
    <row r="204" spans="1:12" x14ac:dyDescent="0.3">
      <c r="A204" s="285"/>
      <c r="B204" s="268"/>
      <c r="C204" s="2" t="s">
        <v>29</v>
      </c>
      <c r="D204" s="3">
        <v>264000</v>
      </c>
      <c r="E204" s="3">
        <v>539706</v>
      </c>
      <c r="F204" s="3">
        <v>30420</v>
      </c>
      <c r="G204" s="3"/>
      <c r="H204" s="3"/>
      <c r="I204" s="3"/>
      <c r="J204" s="20">
        <f t="shared" si="69"/>
        <v>570126</v>
      </c>
      <c r="K204" s="108">
        <v>435486</v>
      </c>
      <c r="L204" s="3">
        <f t="shared" si="70"/>
        <v>134640</v>
      </c>
    </row>
    <row r="205" spans="1:12" x14ac:dyDescent="0.3">
      <c r="A205" s="285"/>
      <c r="B205" s="268"/>
      <c r="C205" s="26" t="s">
        <v>53</v>
      </c>
      <c r="D205" s="7">
        <f>SUM(D199:D204)</f>
        <v>10687165</v>
      </c>
      <c r="E205" s="7">
        <v>10692367</v>
      </c>
      <c r="F205" s="7">
        <f t="shared" ref="F205:L205" si="71">SUM(F199:F204)</f>
        <v>35316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0">
        <f t="shared" si="71"/>
        <v>6616278</v>
      </c>
      <c r="L205" s="7">
        <f t="shared" si="71"/>
        <v>4175522</v>
      </c>
    </row>
    <row r="206" spans="1:12" x14ac:dyDescent="0.3">
      <c r="A206" s="285"/>
      <c r="B206" s="268"/>
      <c r="C206" s="86" t="s">
        <v>31</v>
      </c>
      <c r="D206" s="87">
        <v>2120857</v>
      </c>
      <c r="E206" s="87">
        <v>2120857</v>
      </c>
      <c r="F206" s="88"/>
      <c r="G206" s="88"/>
      <c r="H206" s="88"/>
      <c r="I206" s="88"/>
      <c r="J206" s="84">
        <f t="shared" ref="J206:J213" si="72">E206+F206+G206+H206+I206</f>
        <v>2120857</v>
      </c>
      <c r="K206" s="111">
        <v>1317847</v>
      </c>
      <c r="L206" s="85">
        <f t="shared" ref="L206:L213" si="73">J206-K206</f>
        <v>803010</v>
      </c>
    </row>
    <row r="207" spans="1:12" x14ac:dyDescent="0.3">
      <c r="A207" s="285"/>
      <c r="B207" s="268"/>
      <c r="C207" s="99" t="s">
        <v>33</v>
      </c>
      <c r="D207" s="100">
        <v>0</v>
      </c>
      <c r="E207" s="100">
        <v>186928</v>
      </c>
      <c r="F207" s="100"/>
      <c r="G207" s="100"/>
      <c r="H207" s="100"/>
      <c r="I207" s="100"/>
      <c r="J207" s="20">
        <f t="shared" si="72"/>
        <v>186928</v>
      </c>
      <c r="K207" s="114">
        <v>30769</v>
      </c>
      <c r="L207" s="3">
        <f t="shared" si="73"/>
        <v>156159</v>
      </c>
    </row>
    <row r="208" spans="1:12" x14ac:dyDescent="0.3">
      <c r="A208" s="285"/>
      <c r="B208" s="268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4">
        <v>29571</v>
      </c>
      <c r="L208" s="3">
        <f t="shared" si="73"/>
        <v>143229</v>
      </c>
    </row>
    <row r="209" spans="1:12" x14ac:dyDescent="0.3">
      <c r="A209" s="285"/>
      <c r="B209" s="268"/>
      <c r="C209" s="98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4">
        <v>3500</v>
      </c>
      <c r="L209" s="3">
        <f t="shared" si="73"/>
        <v>0</v>
      </c>
    </row>
    <row r="210" spans="1:12" x14ac:dyDescent="0.3">
      <c r="A210" s="285"/>
      <c r="B210" s="268"/>
      <c r="C210" s="131" t="s">
        <v>41</v>
      </c>
      <c r="D210" s="47">
        <v>0</v>
      </c>
      <c r="E210" s="47">
        <v>1685</v>
      </c>
      <c r="F210" s="47"/>
      <c r="G210" s="47"/>
      <c r="H210" s="47"/>
      <c r="I210" s="47"/>
      <c r="J210" s="20">
        <f t="shared" si="72"/>
        <v>1685</v>
      </c>
      <c r="K210" s="114">
        <v>1685</v>
      </c>
      <c r="L210" s="3">
        <f t="shared" si="73"/>
        <v>0</v>
      </c>
    </row>
    <row r="211" spans="1:12" x14ac:dyDescent="0.3">
      <c r="A211" s="285"/>
      <c r="B211" s="268"/>
      <c r="C211" s="46" t="s">
        <v>42</v>
      </c>
      <c r="D211" s="47">
        <v>0</v>
      </c>
      <c r="E211" s="47">
        <v>77280</v>
      </c>
      <c r="F211" s="47">
        <v>1630</v>
      </c>
      <c r="G211" s="47"/>
      <c r="H211" s="47"/>
      <c r="I211" s="47"/>
      <c r="J211" s="20">
        <f t="shared" si="72"/>
        <v>78910</v>
      </c>
      <c r="K211" s="114">
        <v>78910</v>
      </c>
      <c r="L211" s="3">
        <f t="shared" si="73"/>
        <v>0</v>
      </c>
    </row>
    <row r="212" spans="1:12" x14ac:dyDescent="0.3">
      <c r="A212" s="285"/>
      <c r="B212" s="268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4">
        <v>37025</v>
      </c>
      <c r="L212" s="3">
        <f t="shared" si="73"/>
        <v>74531</v>
      </c>
    </row>
    <row r="213" spans="1:12" x14ac:dyDescent="0.3">
      <c r="A213" s="285"/>
      <c r="B213" s="268"/>
      <c r="C213" s="46" t="s">
        <v>45</v>
      </c>
      <c r="D213" s="47">
        <v>0</v>
      </c>
      <c r="E213" s="47">
        <v>303254</v>
      </c>
      <c r="F213" s="47"/>
      <c r="G213" s="47"/>
      <c r="H213" s="47"/>
      <c r="I213" s="47"/>
      <c r="J213" s="20">
        <f t="shared" si="72"/>
        <v>303254</v>
      </c>
      <c r="K213" s="114">
        <v>210879</v>
      </c>
      <c r="L213" s="3">
        <f t="shared" si="73"/>
        <v>92375</v>
      </c>
    </row>
    <row r="214" spans="1:12" x14ac:dyDescent="0.3">
      <c r="A214" s="263"/>
      <c r="B214" s="265"/>
      <c r="C214" s="49" t="s">
        <v>49</v>
      </c>
      <c r="D214" s="50">
        <f>SUM(D207:D213)</f>
        <v>0</v>
      </c>
      <c r="E214" s="50">
        <v>825208</v>
      </c>
      <c r="F214" s="50">
        <f t="shared" ref="F214:L214" si="74">SUM(F207:F213)</f>
        <v>1630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858633</v>
      </c>
      <c r="K214" s="115">
        <f>SUM(K207:K213)</f>
        <v>392339</v>
      </c>
      <c r="L214" s="50">
        <f t="shared" si="74"/>
        <v>466294</v>
      </c>
    </row>
    <row r="215" spans="1:12" x14ac:dyDescent="0.3">
      <c r="A215" s="254" t="s">
        <v>68</v>
      </c>
      <c r="B215" s="279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08">
        <v>1671783</v>
      </c>
      <c r="L215" s="3">
        <f t="shared" ref="L215:L216" si="75">J215-K215</f>
        <v>829773</v>
      </c>
    </row>
    <row r="216" spans="1:12" x14ac:dyDescent="0.3">
      <c r="A216" s="262"/>
      <c r="B216" s="280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08">
        <v>321651</v>
      </c>
      <c r="L216" s="3">
        <f t="shared" si="75"/>
        <v>144918</v>
      </c>
    </row>
    <row r="217" spans="1:12" x14ac:dyDescent="0.3">
      <c r="A217" s="346" t="s">
        <v>82</v>
      </c>
      <c r="B217" s="347"/>
      <c r="C217" s="348"/>
      <c r="D217" s="125">
        <f>SUM(D205+D206+D215+D216+D214)</f>
        <v>15776147</v>
      </c>
      <c r="E217" s="125">
        <v>16606557</v>
      </c>
      <c r="F217" s="125">
        <f t="shared" ref="F217:I217" si="77">SUM(F205+F206+F215+F216+F214)</f>
        <v>36946</v>
      </c>
      <c r="G217" s="125">
        <f t="shared" si="77"/>
        <v>0</v>
      </c>
      <c r="H217" s="125">
        <f t="shared" si="77"/>
        <v>0</v>
      </c>
      <c r="I217" s="125">
        <f t="shared" si="77"/>
        <v>0</v>
      </c>
      <c r="J217" s="125">
        <f>SUM(J205+J206+J215+J216+J214)</f>
        <v>16739415</v>
      </c>
      <c r="K217" s="126">
        <f>SUM(K205+K206+K215+K216+K214)</f>
        <v>10319898</v>
      </c>
      <c r="L217" s="127">
        <f>SUM(L205+L206+L215+L216+L214)</f>
        <v>6419517</v>
      </c>
    </row>
    <row r="218" spans="1:12" ht="30.75" customHeight="1" x14ac:dyDescent="0.3">
      <c r="A218" s="349" t="s">
        <v>74</v>
      </c>
      <c r="B218" s="350"/>
      <c r="C218" s="351"/>
      <c r="D218" s="128">
        <f t="shared" ref="D218:K218" si="78">SUM(D88+D113+D135+D156+D179+D198+D217)</f>
        <v>230443641</v>
      </c>
      <c r="E218" s="128">
        <f t="shared" si="78"/>
        <v>230521849</v>
      </c>
      <c r="F218" s="128">
        <f t="shared" si="78"/>
        <v>0</v>
      </c>
      <c r="G218" s="128">
        <f t="shared" si="78"/>
        <v>0</v>
      </c>
      <c r="H218" s="128">
        <f t="shared" si="78"/>
        <v>0</v>
      </c>
      <c r="I218" s="128">
        <f t="shared" si="78"/>
        <v>0</v>
      </c>
      <c r="J218" s="128">
        <f t="shared" si="78"/>
        <v>230521849</v>
      </c>
      <c r="K218" s="129">
        <f t="shared" si="78"/>
        <v>129753488</v>
      </c>
      <c r="L218" s="128">
        <f>SUM(L88+L113+L135+L156+L179+L198+L217)</f>
        <v>100768361</v>
      </c>
    </row>
    <row r="219" spans="1:12" x14ac:dyDescent="0.3">
      <c r="B219" s="5"/>
      <c r="E219" s="4"/>
      <c r="F219" s="4"/>
      <c r="G219" s="4"/>
      <c r="H219" s="4"/>
      <c r="I219" s="4"/>
      <c r="J219" s="4"/>
      <c r="K219" s="107"/>
    </row>
    <row r="220" spans="1:12" x14ac:dyDescent="0.3">
      <c r="B220" s="5"/>
      <c r="E220" s="4"/>
      <c r="F220" s="4"/>
      <c r="G220" s="4"/>
      <c r="H220" s="4"/>
      <c r="I220" s="4"/>
      <c r="J220" s="4"/>
      <c r="K220" s="107"/>
    </row>
    <row r="221" spans="1:12" x14ac:dyDescent="0.3">
      <c r="B221" s="5"/>
      <c r="E221" s="4"/>
      <c r="F221" s="4"/>
      <c r="G221" s="4"/>
      <c r="H221" s="4"/>
      <c r="I221" s="4"/>
      <c r="J221" s="4"/>
      <c r="K221" s="107"/>
    </row>
    <row r="222" spans="1:12" x14ac:dyDescent="0.3">
      <c r="B222" s="5"/>
      <c r="E222" s="4"/>
      <c r="F222" s="4"/>
      <c r="G222" s="4"/>
      <c r="H222" s="4"/>
      <c r="I222" s="4"/>
      <c r="J222" s="4"/>
      <c r="K222" s="107"/>
    </row>
    <row r="223" spans="1:12" x14ac:dyDescent="0.3">
      <c r="B223" s="5"/>
      <c r="E223" s="4"/>
      <c r="F223" s="4"/>
      <c r="G223" s="4"/>
      <c r="H223" s="4"/>
      <c r="I223" s="4"/>
      <c r="J223" s="4"/>
      <c r="K223" s="107"/>
    </row>
    <row r="224" spans="1:12" ht="15" thickBot="1" x14ac:dyDescent="0.35">
      <c r="B224" s="5"/>
      <c r="E224" s="4"/>
      <c r="F224" s="4"/>
      <c r="G224" s="130">
        <v>43708</v>
      </c>
      <c r="H224" s="4"/>
      <c r="I224" s="4"/>
      <c r="J224" s="4"/>
      <c r="K224" s="107"/>
    </row>
    <row r="225" spans="1:11" ht="15" thickTop="1" x14ac:dyDescent="0.3">
      <c r="A225" s="283" t="s">
        <v>83</v>
      </c>
      <c r="B225" s="283"/>
      <c r="C225" s="283"/>
      <c r="D225" s="283"/>
      <c r="E225" s="283"/>
      <c r="F225" s="283"/>
      <c r="G225" s="283"/>
      <c r="H225" s="283"/>
      <c r="I225" s="283"/>
      <c r="J225" s="283"/>
      <c r="K225" s="283"/>
    </row>
    <row r="226" spans="1:11" s="75" customFormat="1" ht="33.75" customHeight="1" x14ac:dyDescent="0.3">
      <c r="A226" s="323" t="s">
        <v>0</v>
      </c>
      <c r="B226" s="324"/>
      <c r="C226" s="71" t="s">
        <v>3</v>
      </c>
      <c r="D226" s="71" t="s">
        <v>4</v>
      </c>
      <c r="E226" s="73" t="s">
        <v>111</v>
      </c>
      <c r="F226" s="72" t="s">
        <v>70</v>
      </c>
      <c r="G226" s="105" t="s">
        <v>71</v>
      </c>
      <c r="H226" s="106" t="s">
        <v>71</v>
      </c>
      <c r="I226" s="73" t="s">
        <v>71</v>
      </c>
      <c r="J226" s="73" t="s">
        <v>115</v>
      </c>
      <c r="K226" s="74" t="s">
        <v>118</v>
      </c>
    </row>
    <row r="227" spans="1:11" x14ac:dyDescent="0.3">
      <c r="A227" s="325"/>
      <c r="B227" s="326"/>
      <c r="C227" s="33" t="s">
        <v>16</v>
      </c>
      <c r="D227" s="34">
        <f t="shared" ref="D227:K228" si="79">D5+D14+D16+D18+D20+D22</f>
        <v>117230959</v>
      </c>
      <c r="E227" s="34">
        <f t="shared" si="79"/>
        <v>117297167</v>
      </c>
      <c r="F227" s="34">
        <f t="shared" si="79"/>
        <v>0</v>
      </c>
      <c r="G227" s="34">
        <f t="shared" si="79"/>
        <v>0</v>
      </c>
      <c r="H227" s="34">
        <f t="shared" si="79"/>
        <v>0</v>
      </c>
      <c r="I227" s="34">
        <f t="shared" si="79"/>
        <v>0</v>
      </c>
      <c r="J227" s="34">
        <f t="shared" si="79"/>
        <v>117297167</v>
      </c>
      <c r="K227" s="34">
        <f t="shared" si="79"/>
        <v>56755805</v>
      </c>
    </row>
    <row r="228" spans="1:11" x14ac:dyDescent="0.3">
      <c r="A228" s="325"/>
      <c r="B228" s="326"/>
      <c r="C228" s="33" t="s">
        <v>17</v>
      </c>
      <c r="D228" s="34">
        <f t="shared" si="79"/>
        <v>16012810</v>
      </c>
      <c r="E228" s="34">
        <f t="shared" si="79"/>
        <v>16012810</v>
      </c>
      <c r="F228" s="34">
        <f t="shared" si="79"/>
        <v>0</v>
      </c>
      <c r="G228" s="34">
        <f t="shared" si="79"/>
        <v>0</v>
      </c>
      <c r="H228" s="34">
        <f t="shared" si="79"/>
        <v>0</v>
      </c>
      <c r="I228" s="34">
        <f t="shared" si="79"/>
        <v>0</v>
      </c>
      <c r="J228" s="34">
        <f t="shared" si="79"/>
        <v>16012810</v>
      </c>
      <c r="K228" s="34">
        <f t="shared" si="79"/>
        <v>16012810</v>
      </c>
    </row>
    <row r="229" spans="1:11" x14ac:dyDescent="0.3">
      <c r="A229" s="325"/>
      <c r="B229" s="326"/>
      <c r="C229" s="33" t="s">
        <v>18</v>
      </c>
      <c r="D229" s="34">
        <f t="shared" ref="D229:K231" si="80">D7</f>
        <v>96985672</v>
      </c>
      <c r="E229" s="34">
        <f t="shared" si="80"/>
        <v>96985672</v>
      </c>
      <c r="F229" s="34">
        <f t="shared" si="80"/>
        <v>0</v>
      </c>
      <c r="G229" s="34">
        <f t="shared" si="80"/>
        <v>0</v>
      </c>
      <c r="H229" s="34">
        <f t="shared" si="80"/>
        <v>0</v>
      </c>
      <c r="I229" s="34">
        <f t="shared" si="80"/>
        <v>0</v>
      </c>
      <c r="J229" s="34">
        <f t="shared" si="80"/>
        <v>96985672</v>
      </c>
      <c r="K229" s="34">
        <f t="shared" si="80"/>
        <v>61177949</v>
      </c>
    </row>
    <row r="230" spans="1:11" x14ac:dyDescent="0.3">
      <c r="A230" s="325"/>
      <c r="B230" s="326"/>
      <c r="C230" s="35" t="s">
        <v>22</v>
      </c>
      <c r="D230" s="34">
        <f t="shared" si="80"/>
        <v>200000</v>
      </c>
      <c r="E230" s="34">
        <f t="shared" si="80"/>
        <v>200000</v>
      </c>
      <c r="F230" s="34">
        <f t="shared" si="80"/>
        <v>0</v>
      </c>
      <c r="G230" s="34">
        <f t="shared" si="80"/>
        <v>0</v>
      </c>
      <c r="H230" s="34">
        <f t="shared" si="80"/>
        <v>0</v>
      </c>
      <c r="I230" s="34">
        <f t="shared" si="80"/>
        <v>0</v>
      </c>
      <c r="J230" s="34">
        <f t="shared" si="80"/>
        <v>200000</v>
      </c>
      <c r="K230" s="34">
        <f t="shared" si="80"/>
        <v>0</v>
      </c>
    </row>
    <row r="231" spans="1:11" x14ac:dyDescent="0.3">
      <c r="A231" s="325"/>
      <c r="B231" s="326"/>
      <c r="C231" s="35" t="s">
        <v>19</v>
      </c>
      <c r="D231" s="34">
        <f t="shared" si="80"/>
        <v>13200</v>
      </c>
      <c r="E231" s="34">
        <f t="shared" si="80"/>
        <v>16540</v>
      </c>
      <c r="F231" s="34">
        <f t="shared" si="80"/>
        <v>5386</v>
      </c>
      <c r="G231" s="34">
        <f t="shared" si="80"/>
        <v>0</v>
      </c>
      <c r="H231" s="34">
        <f t="shared" si="80"/>
        <v>0</v>
      </c>
      <c r="I231" s="34">
        <f t="shared" si="80"/>
        <v>0</v>
      </c>
      <c r="J231" s="34">
        <f t="shared" si="80"/>
        <v>21926</v>
      </c>
      <c r="K231" s="34">
        <f t="shared" si="80"/>
        <v>21926</v>
      </c>
    </row>
    <row r="232" spans="1:11" x14ac:dyDescent="0.3">
      <c r="A232" s="325"/>
      <c r="B232" s="326"/>
      <c r="C232" s="35" t="s">
        <v>84</v>
      </c>
      <c r="D232" s="34">
        <f>D13+D11</f>
        <v>0</v>
      </c>
      <c r="E232" s="34">
        <f>E13+E11</f>
        <v>9239</v>
      </c>
      <c r="F232" s="34">
        <f t="shared" ref="F232:K232" si="81">F13+F11</f>
        <v>-5290</v>
      </c>
      <c r="G232" s="34">
        <f t="shared" si="81"/>
        <v>0</v>
      </c>
      <c r="H232" s="34">
        <f t="shared" si="81"/>
        <v>0</v>
      </c>
      <c r="I232" s="34">
        <f t="shared" si="81"/>
        <v>0</v>
      </c>
      <c r="J232" s="34">
        <f>J13+J11</f>
        <v>3949</v>
      </c>
      <c r="K232" s="34">
        <f t="shared" si="81"/>
        <v>3835</v>
      </c>
    </row>
    <row r="233" spans="1:11" x14ac:dyDescent="0.3">
      <c r="A233" s="325"/>
      <c r="B233" s="326"/>
      <c r="C233" s="33" t="s">
        <v>20</v>
      </c>
      <c r="D233" s="34">
        <f>D10+D12</f>
        <v>1000</v>
      </c>
      <c r="E233" s="34">
        <f>E10+E12</f>
        <v>421</v>
      </c>
      <c r="F233" s="34">
        <f t="shared" ref="F233:K233" si="82">F10+F12</f>
        <v>-96</v>
      </c>
      <c r="G233" s="34">
        <f t="shared" si="82"/>
        <v>0</v>
      </c>
      <c r="H233" s="34">
        <f t="shared" si="82"/>
        <v>0</v>
      </c>
      <c r="I233" s="34">
        <f t="shared" si="82"/>
        <v>0</v>
      </c>
      <c r="J233" s="34">
        <f t="shared" si="82"/>
        <v>325</v>
      </c>
      <c r="K233" s="34">
        <f t="shared" si="82"/>
        <v>304</v>
      </c>
    </row>
    <row r="234" spans="1:11" x14ac:dyDescent="0.3">
      <c r="A234" s="325"/>
      <c r="B234" s="326"/>
      <c r="C234" s="63" t="s">
        <v>86</v>
      </c>
      <c r="D234" s="64">
        <f>D13+D12+D11+D10+D9</f>
        <v>14200</v>
      </c>
      <c r="E234" s="64">
        <f>E13+E12+E11+E10+E9</f>
        <v>26200</v>
      </c>
      <c r="F234" s="64">
        <f t="shared" ref="F234:K234" si="83">F13+F12+F11+F10+F9</f>
        <v>0</v>
      </c>
      <c r="G234" s="64">
        <f t="shared" si="83"/>
        <v>0</v>
      </c>
      <c r="H234" s="64">
        <f t="shared" si="83"/>
        <v>0</v>
      </c>
      <c r="I234" s="64">
        <f t="shared" si="83"/>
        <v>0</v>
      </c>
      <c r="J234" s="64">
        <f t="shared" si="83"/>
        <v>26200</v>
      </c>
      <c r="K234" s="64">
        <f t="shared" si="83"/>
        <v>26065</v>
      </c>
    </row>
    <row r="235" spans="1:11" x14ac:dyDescent="0.3">
      <c r="A235" s="325"/>
      <c r="B235" s="326"/>
      <c r="C235" s="63" t="s">
        <v>87</v>
      </c>
      <c r="D235" s="64">
        <f>D23+D21+D19+D17+D15+D7+D6</f>
        <v>112998482</v>
      </c>
      <c r="E235" s="64">
        <f>E23+E21+E19+E17+E15+E7+E6</f>
        <v>112998482</v>
      </c>
      <c r="F235" s="64">
        <f t="shared" ref="F235:K235" si="84">F23+F21+F19+F17+F15+F7+F6</f>
        <v>0</v>
      </c>
      <c r="G235" s="64">
        <f t="shared" si="84"/>
        <v>0</v>
      </c>
      <c r="H235" s="64">
        <f t="shared" si="84"/>
        <v>0</v>
      </c>
      <c r="I235" s="64">
        <f t="shared" si="84"/>
        <v>0</v>
      </c>
      <c r="J235" s="64">
        <f t="shared" si="84"/>
        <v>112998482</v>
      </c>
      <c r="K235" s="64">
        <f t="shared" si="84"/>
        <v>77190759</v>
      </c>
    </row>
    <row r="236" spans="1:11" x14ac:dyDescent="0.3">
      <c r="A236" s="325"/>
      <c r="B236" s="326"/>
      <c r="C236" s="63" t="s">
        <v>94</v>
      </c>
      <c r="D236" s="64">
        <f>D24</f>
        <v>230443641</v>
      </c>
      <c r="E236" s="64">
        <f>E24</f>
        <v>230521849</v>
      </c>
      <c r="F236" s="64">
        <f t="shared" ref="F236:K236" si="85">F24</f>
        <v>0</v>
      </c>
      <c r="G236" s="64">
        <f t="shared" si="85"/>
        <v>0</v>
      </c>
      <c r="H236" s="64">
        <f t="shared" si="85"/>
        <v>0</v>
      </c>
      <c r="I236" s="64">
        <f t="shared" si="85"/>
        <v>0</v>
      </c>
      <c r="J236" s="64">
        <f t="shared" si="85"/>
        <v>230521849</v>
      </c>
      <c r="K236" s="64">
        <f t="shared" si="85"/>
        <v>133972629</v>
      </c>
    </row>
    <row r="237" spans="1:11" x14ac:dyDescent="0.3">
      <c r="A237" s="325"/>
      <c r="B237" s="326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127662960</v>
      </c>
      <c r="F237" s="34">
        <f>F89+F111+F114+F133+F136+F154+F157+F177+F199+F215+F180+F86+F84+F52+F25</f>
        <v>-30420</v>
      </c>
      <c r="G237" s="34">
        <f t="shared" ref="G237:I237" si="86">G89+G111+G114+G133+G136+G154+G157+G177+G199+G215+G180+G86+G84+G52+G25</f>
        <v>0</v>
      </c>
      <c r="H237" s="34">
        <f t="shared" si="86"/>
        <v>0</v>
      </c>
      <c r="I237" s="34">
        <f t="shared" si="86"/>
        <v>0</v>
      </c>
      <c r="J237" s="34">
        <f>J215+J199+J180+J177+J157+J154+J136+J133+J114+J111+J89+J86+J84+J52+J25</f>
        <v>127632540</v>
      </c>
      <c r="K237" s="34">
        <f>K215+K199+K180+K177+K157+K154+K136+K133+K114+K111+K89+K86+K84+K52+K25</f>
        <v>80007549</v>
      </c>
    </row>
    <row r="238" spans="1:11" x14ac:dyDescent="0.3">
      <c r="A238" s="325"/>
      <c r="B238" s="326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1270865</v>
      </c>
    </row>
    <row r="239" spans="1:11" x14ac:dyDescent="0.3">
      <c r="A239" s="325"/>
      <c r="B239" s="326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3">
      <c r="A240" s="325"/>
      <c r="B240" s="326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1" x14ac:dyDescent="0.3">
      <c r="A241" s="325"/>
      <c r="B241" s="326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1" x14ac:dyDescent="0.3">
      <c r="A242" s="325"/>
      <c r="B242" s="326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794388</v>
      </c>
    </row>
    <row r="243" spans="1:11" x14ac:dyDescent="0.3">
      <c r="A243" s="325"/>
      <c r="B243" s="326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1" x14ac:dyDescent="0.3">
      <c r="A244" s="325"/>
      <c r="B244" s="326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4199988</v>
      </c>
      <c r="F244" s="34">
        <f>F204+F175+F161+F141+F118+F109+F94+F82+F80+F59+F30+F131</f>
        <v>30420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4230408</v>
      </c>
      <c r="K244" s="34">
        <f>K204+K175+K161+K141+K118+K109+K94+K82+K80+K59+K30+K131</f>
        <v>2106658</v>
      </c>
    </row>
    <row r="245" spans="1:11" x14ac:dyDescent="0.3">
      <c r="A245" s="325"/>
      <c r="B245" s="326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200000</v>
      </c>
      <c r="F245" s="34">
        <f t="shared" si="92"/>
        <v>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1" x14ac:dyDescent="0.3">
      <c r="A246" s="325"/>
      <c r="B246" s="326"/>
      <c r="C246" s="63" t="s">
        <v>53</v>
      </c>
      <c r="D246" s="64">
        <f>D205+D182+D163+D143+D215+D177+D154+D133+D131+D175+D120+D111+D109+D96+D86+D84+D82+D80+D61+D32</f>
        <v>140382424</v>
      </c>
      <c r="E246" s="64">
        <f t="shared" ref="E246:J246" si="93">E205+E182+E163+E143+E215+E177+E154+E133+E131+E175+E120+E111+E109+E96+E86+E84+E82+E80+E61+E32</f>
        <v>140437828</v>
      </c>
      <c r="F246" s="64">
        <f t="shared" si="93"/>
        <v>0</v>
      </c>
      <c r="G246" s="64">
        <f t="shared" si="93"/>
        <v>0</v>
      </c>
      <c r="H246" s="64">
        <f t="shared" si="93"/>
        <v>0</v>
      </c>
      <c r="I246" s="64">
        <f t="shared" si="93"/>
        <v>0</v>
      </c>
      <c r="J246" s="64">
        <f t="shared" si="93"/>
        <v>140437828</v>
      </c>
      <c r="K246" s="64">
        <f t="shared" ref="K246" si="94">K205+K182+K163+K143+K215+K177+K154+K133+K131+K175+K120+K111+K109+K96+K86+K84+K82+K80+K61+K32</f>
        <v>86316764</v>
      </c>
    </row>
    <row r="247" spans="1:11" x14ac:dyDescent="0.3">
      <c r="A247" s="325"/>
      <c r="B247" s="326"/>
      <c r="C247" s="65" t="s">
        <v>31</v>
      </c>
      <c r="D247" s="64">
        <f>D206+D183+D178+D176+D216+D164+D155+D144+D134+D132+D121+D112+D110+D97+D87+D85+D83+D81+D62+D33</f>
        <v>27536677</v>
      </c>
      <c r="E247" s="64">
        <f>E206+E183+E178+E176+E216+E164+E155+E144+E134+E132+E121+E112+E110+E97+E87+E85+E83+E81+E62+E33</f>
        <v>31822031</v>
      </c>
      <c r="F247" s="64">
        <f t="shared" ref="F247:K247" si="95">F206+F183+F178+F176+F216+F164+F155+F144+F134+F132+F121+F112+F110+F97+F87+F85+F83+F81+F62+F33</f>
        <v>0</v>
      </c>
      <c r="G247" s="64">
        <f t="shared" si="95"/>
        <v>0</v>
      </c>
      <c r="H247" s="64">
        <f t="shared" si="95"/>
        <v>0</v>
      </c>
      <c r="I247" s="64">
        <f t="shared" si="95"/>
        <v>0</v>
      </c>
      <c r="J247" s="64">
        <f t="shared" si="95"/>
        <v>31822031</v>
      </c>
      <c r="K247" s="64">
        <f t="shared" si="95"/>
        <v>20272575</v>
      </c>
    </row>
    <row r="248" spans="1:11" x14ac:dyDescent="0.3">
      <c r="A248" s="325"/>
      <c r="B248" s="326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6">F165+F145+F122+F98+F63+F34</f>
        <v>0</v>
      </c>
      <c r="G248" s="34">
        <f t="shared" si="96"/>
        <v>0</v>
      </c>
      <c r="H248" s="34">
        <f t="shared" si="96"/>
        <v>0</v>
      </c>
      <c r="I248" s="34">
        <f t="shared" si="96"/>
        <v>0</v>
      </c>
      <c r="J248" s="34">
        <f t="shared" si="96"/>
        <v>540000</v>
      </c>
      <c r="K248" s="34">
        <f t="shared" si="96"/>
        <v>49638</v>
      </c>
    </row>
    <row r="249" spans="1:11" x14ac:dyDescent="0.3">
      <c r="A249" s="325"/>
      <c r="B249" s="326"/>
      <c r="C249" s="35" t="s">
        <v>33</v>
      </c>
      <c r="D249" s="34">
        <f>D184+D166+D146+D123+D99+D64+D35+D207</f>
        <v>1700000</v>
      </c>
      <c r="E249" s="34">
        <f t="shared" ref="E249:K249" si="97">E184+E166+E146+E123+E99+E64+E35+E207</f>
        <v>2029887</v>
      </c>
      <c r="F249" s="34">
        <f t="shared" si="97"/>
        <v>-20000</v>
      </c>
      <c r="G249" s="34">
        <f t="shared" si="97"/>
        <v>0</v>
      </c>
      <c r="H249" s="34">
        <f t="shared" si="97"/>
        <v>0</v>
      </c>
      <c r="I249" s="34">
        <f t="shared" si="97"/>
        <v>0</v>
      </c>
      <c r="J249" s="34">
        <f t="shared" si="97"/>
        <v>2009887</v>
      </c>
      <c r="K249" s="34">
        <f t="shared" si="97"/>
        <v>307080</v>
      </c>
    </row>
    <row r="250" spans="1:11" x14ac:dyDescent="0.3">
      <c r="A250" s="325"/>
      <c r="B250" s="326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8">F167+F147+F124+F100+F65+F36</f>
        <v>0</v>
      </c>
      <c r="G250" s="34">
        <f t="shared" si="98"/>
        <v>0</v>
      </c>
      <c r="H250" s="34">
        <f t="shared" si="98"/>
        <v>0</v>
      </c>
      <c r="I250" s="34">
        <f t="shared" si="98"/>
        <v>0</v>
      </c>
      <c r="J250" s="34">
        <f t="shared" si="98"/>
        <v>988000</v>
      </c>
      <c r="K250" s="34">
        <f t="shared" si="98"/>
        <v>153976</v>
      </c>
    </row>
    <row r="251" spans="1:11" x14ac:dyDescent="0.3">
      <c r="A251" s="325"/>
      <c r="B251" s="326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9">F208+F168+F101+F66+F37</f>
        <v>0</v>
      </c>
      <c r="G251" s="34">
        <f t="shared" si="99"/>
        <v>0</v>
      </c>
      <c r="H251" s="34">
        <f t="shared" si="99"/>
        <v>0</v>
      </c>
      <c r="I251" s="34">
        <f t="shared" si="99"/>
        <v>0</v>
      </c>
      <c r="J251" s="34">
        <f t="shared" si="99"/>
        <v>617000</v>
      </c>
      <c r="K251" s="34">
        <f t="shared" si="99"/>
        <v>151402</v>
      </c>
    </row>
    <row r="252" spans="1:11" x14ac:dyDescent="0.3">
      <c r="A252" s="325"/>
      <c r="B252" s="326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100">F102+F67+F38</f>
        <v>-900</v>
      </c>
      <c r="G252" s="34">
        <f t="shared" si="100"/>
        <v>0</v>
      </c>
      <c r="H252" s="34">
        <f t="shared" si="100"/>
        <v>0</v>
      </c>
      <c r="I252" s="34">
        <f t="shared" si="100"/>
        <v>0</v>
      </c>
      <c r="J252" s="34">
        <f t="shared" si="100"/>
        <v>1738180</v>
      </c>
      <c r="K252" s="34">
        <f t="shared" si="100"/>
        <v>1151271</v>
      </c>
    </row>
    <row r="253" spans="1:11" x14ac:dyDescent="0.3">
      <c r="A253" s="325"/>
      <c r="B253" s="326"/>
      <c r="C253" s="38" t="s">
        <v>37</v>
      </c>
      <c r="D253" s="34">
        <f>D185+D68+D39</f>
        <v>356000</v>
      </c>
      <c r="E253" s="34">
        <f>E185+E68+E39</f>
        <v>356000</v>
      </c>
      <c r="F253" s="34">
        <f t="shared" ref="F253:J253" si="101">F185+F68+F39</f>
        <v>0</v>
      </c>
      <c r="G253" s="34">
        <f t="shared" si="101"/>
        <v>0</v>
      </c>
      <c r="H253" s="34">
        <f t="shared" si="101"/>
        <v>0</v>
      </c>
      <c r="I253" s="34">
        <f t="shared" si="101"/>
        <v>0</v>
      </c>
      <c r="J253" s="34">
        <f t="shared" si="101"/>
        <v>356000</v>
      </c>
      <c r="K253" s="34">
        <f>K185+K68+K39</f>
        <v>0</v>
      </c>
    </row>
    <row r="254" spans="1:11" x14ac:dyDescent="0.3">
      <c r="A254" s="325"/>
      <c r="B254" s="326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2">F169+F148+F125+F103+F69+F40+F209</f>
        <v>-14820</v>
      </c>
      <c r="G254" s="34">
        <f t="shared" si="102"/>
        <v>0</v>
      </c>
      <c r="H254" s="34">
        <f t="shared" si="102"/>
        <v>0</v>
      </c>
      <c r="I254" s="34">
        <f t="shared" si="102"/>
        <v>0</v>
      </c>
      <c r="J254" s="34">
        <f t="shared" si="102"/>
        <v>1379180</v>
      </c>
      <c r="K254" s="34">
        <f t="shared" si="102"/>
        <v>374868</v>
      </c>
    </row>
    <row r="255" spans="1:11" x14ac:dyDescent="0.3">
      <c r="A255" s="325"/>
      <c r="B255" s="326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3">F41</f>
        <v>5386</v>
      </c>
      <c r="G255" s="34">
        <f t="shared" si="103"/>
        <v>0</v>
      </c>
      <c r="H255" s="34">
        <f t="shared" si="103"/>
        <v>0</v>
      </c>
      <c r="I255" s="34">
        <f t="shared" si="103"/>
        <v>0</v>
      </c>
      <c r="J255" s="34">
        <f t="shared" si="103"/>
        <v>21926</v>
      </c>
      <c r="K255" s="34">
        <f t="shared" si="103"/>
        <v>21926</v>
      </c>
    </row>
    <row r="256" spans="1:11" x14ac:dyDescent="0.3">
      <c r="A256" s="325"/>
      <c r="B256" s="326"/>
      <c r="C256" s="36" t="s">
        <v>40</v>
      </c>
      <c r="D256" s="34">
        <f t="shared" ref="D256:K256" si="104">D186+D170+D149+D126+D104+D70+D42</f>
        <v>16415104</v>
      </c>
      <c r="E256" s="34">
        <f t="shared" si="104"/>
        <v>16415104</v>
      </c>
      <c r="F256" s="34">
        <f t="shared" si="104"/>
        <v>13600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34">
        <f t="shared" si="104"/>
        <v>16428704</v>
      </c>
      <c r="K256" s="34">
        <f t="shared" si="104"/>
        <v>561844</v>
      </c>
    </row>
    <row r="257" spans="1:11" x14ac:dyDescent="0.3">
      <c r="A257" s="325"/>
      <c r="B257" s="326"/>
      <c r="C257" s="33" t="s">
        <v>41</v>
      </c>
      <c r="D257" s="34">
        <f>D187+D171+D150+D127+D105+D71+D43+D210</f>
        <v>26876743</v>
      </c>
      <c r="E257" s="34">
        <f t="shared" ref="E257:K257" si="105">E187+E171+E150+E127+E105+E71+E43+E210</f>
        <v>14273085</v>
      </c>
      <c r="F257" s="34">
        <f t="shared" si="105"/>
        <v>16734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34">
        <f>J187+J171+J150+J127+J105+J71+J43+J210</f>
        <v>14289819</v>
      </c>
      <c r="K257" s="34">
        <f t="shared" si="105"/>
        <v>6590265</v>
      </c>
    </row>
    <row r="258" spans="1:11" x14ac:dyDescent="0.3">
      <c r="A258" s="325"/>
      <c r="B258" s="326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6">F211+F188+F172+F151+F128+F106+F72+F44</f>
        <v>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2839440</v>
      </c>
      <c r="K258" s="34">
        <f t="shared" si="106"/>
        <v>1092548</v>
      </c>
    </row>
    <row r="259" spans="1:11" x14ac:dyDescent="0.3">
      <c r="A259" s="325"/>
      <c r="B259" s="326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7">F45+F73+F189</f>
        <v>0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290000</v>
      </c>
      <c r="K259" s="34">
        <f t="shared" si="107"/>
        <v>0</v>
      </c>
    </row>
    <row r="260" spans="1:11" x14ac:dyDescent="0.3">
      <c r="A260" s="325"/>
      <c r="B260" s="326"/>
      <c r="C260" s="33" t="s">
        <v>44</v>
      </c>
      <c r="D260" s="34">
        <f>D212+D190+D173+D152+D129+D107+D74+D46</f>
        <v>7754652</v>
      </c>
      <c r="E260" s="34">
        <f>E212+E190+E173+E152+E129+E107+E74+E46</f>
        <v>5316093</v>
      </c>
      <c r="F260" s="34">
        <f t="shared" ref="F260:K260" si="108">F212+F190+F173+F152+F129+F107+F74+F46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5316093</v>
      </c>
      <c r="K260" s="34">
        <f t="shared" si="108"/>
        <v>1950219</v>
      </c>
    </row>
    <row r="261" spans="1:11" x14ac:dyDescent="0.3">
      <c r="A261" s="325"/>
      <c r="B261" s="326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9">F213+F191+F75+F47</f>
        <v>0</v>
      </c>
      <c r="G261" s="34">
        <f t="shared" si="109"/>
        <v>0</v>
      </c>
      <c r="H261" s="34">
        <f t="shared" si="109"/>
        <v>0</v>
      </c>
      <c r="I261" s="34">
        <f t="shared" si="109"/>
        <v>0</v>
      </c>
      <c r="J261" s="34">
        <f t="shared" si="109"/>
        <v>743011</v>
      </c>
      <c r="K261" s="34">
        <f t="shared" si="109"/>
        <v>259112</v>
      </c>
    </row>
    <row r="262" spans="1:11" x14ac:dyDescent="0.3">
      <c r="A262" s="325"/>
      <c r="B262" s="326"/>
      <c r="C262" s="63" t="s">
        <v>49</v>
      </c>
      <c r="D262" s="64">
        <f>D214+D192+D174+D153+D130+D108+D76+D48</f>
        <v>62319790</v>
      </c>
      <c r="E262" s="64">
        <f>E214+E192+E174+E153+E130+E108+E76+E48</f>
        <v>41331790</v>
      </c>
      <c r="F262" s="64">
        <f t="shared" ref="F262:K262" si="110">F214+F192+F174+F153+F130+F108+F76+F48</f>
        <v>0</v>
      </c>
      <c r="G262" s="64">
        <f t="shared" si="110"/>
        <v>0</v>
      </c>
      <c r="H262" s="64">
        <f t="shared" si="110"/>
        <v>0</v>
      </c>
      <c r="I262" s="64">
        <f t="shared" si="110"/>
        <v>0</v>
      </c>
      <c r="J262" s="64">
        <f t="shared" si="110"/>
        <v>47557240</v>
      </c>
      <c r="K262" s="64">
        <f t="shared" si="110"/>
        <v>12664149</v>
      </c>
    </row>
    <row r="263" spans="1:11" x14ac:dyDescent="0.3">
      <c r="A263" s="325"/>
      <c r="B263" s="326"/>
      <c r="C263" s="63" t="s">
        <v>100</v>
      </c>
      <c r="D263" s="64">
        <f>D197</f>
        <v>0</v>
      </c>
      <c r="E263" s="64">
        <f t="shared" ref="E263:K263" si="111">E197</f>
        <v>10500000</v>
      </c>
      <c r="F263" s="64">
        <f t="shared" si="111"/>
        <v>0</v>
      </c>
      <c r="G263" s="64">
        <f t="shared" si="111"/>
        <v>0</v>
      </c>
      <c r="H263" s="64">
        <f t="shared" si="111"/>
        <v>0</v>
      </c>
      <c r="I263" s="64">
        <f t="shared" si="111"/>
        <v>0</v>
      </c>
      <c r="J263" s="64">
        <f t="shared" si="111"/>
        <v>10500000</v>
      </c>
      <c r="K263" s="64">
        <f t="shared" si="111"/>
        <v>10500000</v>
      </c>
    </row>
    <row r="264" spans="1:11" x14ac:dyDescent="0.3">
      <c r="A264" s="325"/>
      <c r="B264" s="326"/>
      <c r="C264" s="38" t="s">
        <v>50</v>
      </c>
      <c r="D264" s="34">
        <f t="shared" ref="D264:K266" si="112">D194+D77+D49</f>
        <v>161220</v>
      </c>
      <c r="E264" s="34">
        <f t="shared" si="112"/>
        <v>161220</v>
      </c>
      <c r="F264" s="34">
        <f t="shared" si="112"/>
        <v>0</v>
      </c>
      <c r="G264" s="34">
        <f t="shared" si="112"/>
        <v>0</v>
      </c>
      <c r="H264" s="34">
        <f t="shared" si="112"/>
        <v>0</v>
      </c>
      <c r="I264" s="34">
        <f t="shared" si="112"/>
        <v>0</v>
      </c>
      <c r="J264" s="34">
        <f t="shared" si="112"/>
        <v>161220</v>
      </c>
      <c r="K264" s="34">
        <f t="shared" si="112"/>
        <v>0</v>
      </c>
    </row>
    <row r="265" spans="1:11" x14ac:dyDescent="0.3">
      <c r="A265" s="325"/>
      <c r="B265" s="326"/>
      <c r="C265" s="37" t="s">
        <v>51</v>
      </c>
      <c r="D265" s="34">
        <f t="shared" si="112"/>
        <v>43530</v>
      </c>
      <c r="E265" s="34">
        <f t="shared" si="112"/>
        <v>43530</v>
      </c>
      <c r="F265" s="34">
        <f t="shared" si="112"/>
        <v>0</v>
      </c>
      <c r="G265" s="34">
        <f t="shared" si="112"/>
        <v>0</v>
      </c>
      <c r="H265" s="34">
        <f t="shared" si="112"/>
        <v>0</v>
      </c>
      <c r="I265" s="34">
        <f t="shared" si="112"/>
        <v>0</v>
      </c>
      <c r="J265" s="34">
        <f t="shared" si="112"/>
        <v>43530</v>
      </c>
      <c r="K265" s="34">
        <f t="shared" si="112"/>
        <v>0</v>
      </c>
    </row>
    <row r="266" spans="1:11" x14ac:dyDescent="0.3">
      <c r="A266" s="325"/>
      <c r="B266" s="326"/>
      <c r="C266" s="63" t="s">
        <v>52</v>
      </c>
      <c r="D266" s="66">
        <f t="shared" si="112"/>
        <v>204750</v>
      </c>
      <c r="E266" s="66">
        <f t="shared" si="112"/>
        <v>204750</v>
      </c>
      <c r="F266" s="66">
        <f t="shared" si="112"/>
        <v>0</v>
      </c>
      <c r="G266" s="66">
        <f t="shared" si="112"/>
        <v>0</v>
      </c>
      <c r="H266" s="66">
        <f t="shared" si="112"/>
        <v>0</v>
      </c>
      <c r="I266" s="66">
        <f t="shared" si="112"/>
        <v>0</v>
      </c>
      <c r="J266" s="66">
        <f t="shared" si="112"/>
        <v>204750</v>
      </c>
      <c r="K266" s="64">
        <f t="shared" si="112"/>
        <v>0</v>
      </c>
    </row>
    <row r="267" spans="1:11" x14ac:dyDescent="0.3">
      <c r="A267" s="327"/>
      <c r="B267" s="328"/>
      <c r="C267" s="67" t="s">
        <v>88</v>
      </c>
      <c r="D267" s="68">
        <f>D218</f>
        <v>230443641</v>
      </c>
      <c r="E267" s="68">
        <f>E218</f>
        <v>230521849</v>
      </c>
      <c r="F267" s="68">
        <f t="shared" ref="F267:K267" si="113">F218</f>
        <v>0</v>
      </c>
      <c r="G267" s="68">
        <f t="shared" si="113"/>
        <v>0</v>
      </c>
      <c r="H267" s="68">
        <f t="shared" si="113"/>
        <v>0</v>
      </c>
      <c r="I267" s="68">
        <f t="shared" si="113"/>
        <v>0</v>
      </c>
      <c r="J267" s="68">
        <f t="shared" si="113"/>
        <v>230521849</v>
      </c>
      <c r="K267" s="68">
        <f t="shared" si="113"/>
        <v>129753488</v>
      </c>
    </row>
    <row r="268" spans="1:11" x14ac:dyDescent="0.3">
      <c r="B268" s="5"/>
      <c r="E268" s="4"/>
      <c r="F268" s="4"/>
      <c r="G268" s="4"/>
      <c r="H268" s="4"/>
      <c r="I268" s="4"/>
      <c r="J268" s="4"/>
      <c r="K268" s="107"/>
    </row>
    <row r="269" spans="1:11" x14ac:dyDescent="0.3">
      <c r="B269" s="5"/>
      <c r="E269" s="4"/>
      <c r="F269" s="4"/>
      <c r="G269" s="4"/>
      <c r="H269" s="4"/>
      <c r="I269" s="4"/>
      <c r="J269" s="4"/>
      <c r="K269" s="107"/>
    </row>
  </sheetData>
  <autoFilter ref="A4:L4" xr:uid="{00000000-0009-0000-0000-000006000000}"/>
  <mergeCells count="74"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50"/>
  <sheetViews>
    <sheetView workbookViewId="0">
      <pane xSplit="2" ySplit="4" topLeftCell="C337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42.6640625" customWidth="1"/>
    <col min="3" max="3" width="7.6640625" customWidth="1"/>
    <col min="4" max="5" width="13.6640625" customWidth="1"/>
    <col min="6" max="6" width="13.33203125" customWidth="1"/>
    <col min="7" max="7" width="11.6640625" customWidth="1"/>
    <col min="8" max="9" width="10.33203125" bestFit="1" customWidth="1"/>
    <col min="10" max="10" width="13.88671875" bestFit="1" customWidth="1"/>
    <col min="11" max="11" width="13.88671875" style="118" customWidth="1"/>
    <col min="12" max="12" width="13.88671875" customWidth="1"/>
  </cols>
  <sheetData>
    <row r="1" spans="1:12" ht="21" x14ac:dyDescent="0.3">
      <c r="A1" s="364" t="s">
        <v>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</row>
    <row r="2" spans="1:12" x14ac:dyDescent="0.3">
      <c r="B2" s="5"/>
      <c r="E2" s="4"/>
      <c r="F2" s="4"/>
      <c r="G2" s="4"/>
      <c r="H2" s="4"/>
      <c r="I2" s="4"/>
      <c r="J2" s="4"/>
      <c r="K2" s="107"/>
    </row>
    <row r="3" spans="1:12" ht="15" customHeight="1" x14ac:dyDescent="0.3">
      <c r="A3" s="353" t="s">
        <v>104</v>
      </c>
      <c r="B3" s="355" t="s">
        <v>105</v>
      </c>
      <c r="C3" s="353" t="s">
        <v>3</v>
      </c>
      <c r="D3" s="353" t="s">
        <v>4</v>
      </c>
      <c r="E3" s="357" t="s">
        <v>96</v>
      </c>
      <c r="F3" s="359" t="s">
        <v>69</v>
      </c>
      <c r="G3" s="360"/>
      <c r="H3" s="360"/>
      <c r="I3" s="361"/>
      <c r="J3" s="357" t="s">
        <v>119</v>
      </c>
      <c r="K3" s="362" t="s">
        <v>116</v>
      </c>
      <c r="L3" s="363" t="s">
        <v>120</v>
      </c>
    </row>
    <row r="4" spans="1:12" ht="42.6" customHeight="1" x14ac:dyDescent="0.3">
      <c r="A4" s="354"/>
      <c r="B4" s="356"/>
      <c r="C4" s="354"/>
      <c r="D4" s="354"/>
      <c r="E4" s="358"/>
      <c r="F4" s="134" t="s">
        <v>70</v>
      </c>
      <c r="G4" s="121" t="s">
        <v>123</v>
      </c>
      <c r="H4" s="121" t="s">
        <v>124</v>
      </c>
      <c r="I4" s="121" t="s">
        <v>122</v>
      </c>
      <c r="J4" s="358"/>
      <c r="K4" s="362"/>
      <c r="L4" s="363"/>
    </row>
    <row r="5" spans="1:12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v>54848819</v>
      </c>
      <c r="F5" s="3"/>
      <c r="G5" s="3">
        <v>-2110933</v>
      </c>
      <c r="H5" s="3"/>
      <c r="I5" s="3"/>
      <c r="J5" s="20">
        <f>E5+F5+G5+H5+I5</f>
        <v>52737886</v>
      </c>
      <c r="K5" s="108">
        <v>32060981</v>
      </c>
      <c r="L5" s="3">
        <f>J5-K5</f>
        <v>20676905</v>
      </c>
    </row>
    <row r="6" spans="1:12" x14ac:dyDescent="0.3">
      <c r="A6" s="285"/>
      <c r="B6" s="261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08">
        <v>7273070</v>
      </c>
      <c r="L6" s="3">
        <f t="shared" ref="L6:L23" si="1">J6-K6</f>
        <v>0</v>
      </c>
    </row>
    <row r="7" spans="1:12" x14ac:dyDescent="0.3">
      <c r="A7" s="285"/>
      <c r="B7" s="261"/>
      <c r="C7" s="2" t="s">
        <v>18</v>
      </c>
      <c r="D7" s="3">
        <v>96985672</v>
      </c>
      <c r="E7" s="3">
        <v>96985672</v>
      </c>
      <c r="F7" s="3"/>
      <c r="G7" s="3">
        <v>3344000</v>
      </c>
      <c r="H7" s="3"/>
      <c r="I7" s="3"/>
      <c r="J7" s="20">
        <f t="shared" si="0"/>
        <v>100329672</v>
      </c>
      <c r="K7" s="108">
        <v>61177949</v>
      </c>
      <c r="L7" s="3">
        <f t="shared" si="1"/>
        <v>39151723</v>
      </c>
    </row>
    <row r="8" spans="1:12" x14ac:dyDescent="0.3">
      <c r="A8" s="285"/>
      <c r="B8" s="264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08">
        <v>0</v>
      </c>
      <c r="L8" s="3">
        <f t="shared" si="1"/>
        <v>200000</v>
      </c>
    </row>
    <row r="9" spans="1:12" x14ac:dyDescent="0.3">
      <c r="A9" s="285"/>
      <c r="B9" s="268"/>
      <c r="C9" s="2" t="s">
        <v>19</v>
      </c>
      <c r="D9" s="3">
        <v>13200</v>
      </c>
      <c r="E9" s="3">
        <v>16540</v>
      </c>
      <c r="F9" s="3">
        <f>5386</f>
        <v>5386</v>
      </c>
      <c r="G9" s="3"/>
      <c r="H9" s="3"/>
      <c r="I9" s="3">
        <v>10000</v>
      </c>
      <c r="J9" s="20">
        <f t="shared" si="0"/>
        <v>31926</v>
      </c>
      <c r="K9" s="108">
        <v>21926</v>
      </c>
      <c r="L9" s="3">
        <f t="shared" si="1"/>
        <v>10000</v>
      </c>
    </row>
    <row r="10" spans="1:12" x14ac:dyDescent="0.3">
      <c r="A10" s="285"/>
      <c r="B10" s="268"/>
      <c r="C10" s="2" t="s">
        <v>20</v>
      </c>
      <c r="D10" s="3">
        <v>500</v>
      </c>
      <c r="E10" s="3">
        <v>211</v>
      </c>
      <c r="F10" s="3">
        <f>-59+500</f>
        <v>441</v>
      </c>
      <c r="G10" s="3"/>
      <c r="H10" s="3"/>
      <c r="I10" s="3"/>
      <c r="J10" s="20">
        <f t="shared" si="0"/>
        <v>652</v>
      </c>
      <c r="K10" s="108">
        <v>152</v>
      </c>
      <c r="L10" s="3">
        <f t="shared" si="1"/>
        <v>500</v>
      </c>
    </row>
    <row r="11" spans="1:12" x14ac:dyDescent="0.3">
      <c r="A11" s="285"/>
      <c r="B11" s="265"/>
      <c r="C11" s="2" t="s">
        <v>84</v>
      </c>
      <c r="D11" s="3">
        <v>0</v>
      </c>
      <c r="E11" s="3">
        <v>9238</v>
      </c>
      <c r="F11" s="3">
        <f>96-5386-1000</f>
        <v>-6290</v>
      </c>
      <c r="G11" s="3"/>
      <c r="H11" s="3"/>
      <c r="I11" s="3">
        <v>9950</v>
      </c>
      <c r="J11" s="20">
        <f t="shared" si="0"/>
        <v>12898</v>
      </c>
      <c r="K11" s="108">
        <v>3834</v>
      </c>
      <c r="L11" s="3">
        <f t="shared" si="1"/>
        <v>9064</v>
      </c>
    </row>
    <row r="12" spans="1:12" x14ac:dyDescent="0.3">
      <c r="A12" s="285"/>
      <c r="B12" s="264">
        <v>104043</v>
      </c>
      <c r="C12" s="2" t="s">
        <v>20</v>
      </c>
      <c r="D12" s="3">
        <v>500</v>
      </c>
      <c r="E12" s="3">
        <v>210</v>
      </c>
      <c r="F12" s="3">
        <f>-37+500</f>
        <v>463</v>
      </c>
      <c r="G12" s="3"/>
      <c r="H12" s="3"/>
      <c r="I12" s="3"/>
      <c r="J12" s="20">
        <f t="shared" si="0"/>
        <v>673</v>
      </c>
      <c r="K12" s="108">
        <v>152</v>
      </c>
      <c r="L12" s="3">
        <f t="shared" si="1"/>
        <v>521</v>
      </c>
    </row>
    <row r="13" spans="1:12" x14ac:dyDescent="0.3">
      <c r="A13" s="263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>
        <v>50</v>
      </c>
      <c r="J13" s="20">
        <f t="shared" si="0"/>
        <v>51</v>
      </c>
      <c r="K13" s="108">
        <v>1</v>
      </c>
      <c r="L13" s="3">
        <f t="shared" si="1"/>
        <v>50</v>
      </c>
    </row>
    <row r="14" spans="1:12" x14ac:dyDescent="0.3">
      <c r="A14" s="254" t="s">
        <v>7</v>
      </c>
      <c r="B14" s="261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08">
        <v>122992</v>
      </c>
      <c r="L14" s="3">
        <f t="shared" si="1"/>
        <v>122990</v>
      </c>
    </row>
    <row r="15" spans="1:12" x14ac:dyDescent="0.3">
      <c r="A15" s="254"/>
      <c r="B15" s="261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08">
        <v>1005557</v>
      </c>
      <c r="L15" s="3">
        <f t="shared" si="1"/>
        <v>0</v>
      </c>
    </row>
    <row r="16" spans="1:12" x14ac:dyDescent="0.3">
      <c r="A16" s="254" t="s">
        <v>8</v>
      </c>
      <c r="B16" s="261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08">
        <v>1560228</v>
      </c>
      <c r="L16" s="3">
        <f t="shared" si="1"/>
        <v>1543476</v>
      </c>
    </row>
    <row r="17" spans="1:12" x14ac:dyDescent="0.3">
      <c r="A17" s="254"/>
      <c r="B17" s="261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08">
        <v>440959</v>
      </c>
      <c r="L17" s="3">
        <f t="shared" si="1"/>
        <v>0</v>
      </c>
    </row>
    <row r="18" spans="1:12" x14ac:dyDescent="0.3">
      <c r="A18" s="254" t="s">
        <v>9</v>
      </c>
      <c r="B18" s="261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08">
        <v>780469</v>
      </c>
      <c r="L18" s="3">
        <f t="shared" si="1"/>
        <v>634418</v>
      </c>
    </row>
    <row r="19" spans="1:12" x14ac:dyDescent="0.3">
      <c r="A19" s="254"/>
      <c r="B19" s="261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08">
        <v>599759</v>
      </c>
      <c r="L19" s="3">
        <f t="shared" si="1"/>
        <v>0</v>
      </c>
    </row>
    <row r="20" spans="1:12" x14ac:dyDescent="0.3">
      <c r="A20" s="262" t="s">
        <v>54</v>
      </c>
      <c r="B20" s="264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08">
        <v>2028192</v>
      </c>
      <c r="L20" s="3">
        <f t="shared" si="1"/>
        <v>2028191</v>
      </c>
    </row>
    <row r="21" spans="1:12" x14ac:dyDescent="0.3">
      <c r="A21" s="263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08">
        <v>226299</v>
      </c>
      <c r="L21" s="3">
        <f t="shared" si="1"/>
        <v>0</v>
      </c>
    </row>
    <row r="22" spans="1:12" x14ac:dyDescent="0.3">
      <c r="A22" s="254" t="s">
        <v>10</v>
      </c>
      <c r="B22" s="261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08">
        <v>20202943</v>
      </c>
      <c r="L22" s="3">
        <f t="shared" si="1"/>
        <v>33424449</v>
      </c>
    </row>
    <row r="23" spans="1:12" x14ac:dyDescent="0.3">
      <c r="A23" s="254"/>
      <c r="B23" s="261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08">
        <v>6467166</v>
      </c>
      <c r="L23" s="3">
        <f t="shared" si="1"/>
        <v>0</v>
      </c>
    </row>
    <row r="24" spans="1:12" ht="30" customHeight="1" x14ac:dyDescent="0.3">
      <c r="A24" s="346" t="s">
        <v>73</v>
      </c>
      <c r="B24" s="347"/>
      <c r="C24" s="348"/>
      <c r="D24" s="122">
        <f t="shared" ref="D24:L24" si="2">SUM(D5:D23)</f>
        <v>230443641</v>
      </c>
      <c r="E24" s="122">
        <f t="shared" si="2"/>
        <v>230521849</v>
      </c>
      <c r="F24" s="122">
        <f t="shared" si="2"/>
        <v>0</v>
      </c>
      <c r="G24" s="122">
        <f t="shared" si="2"/>
        <v>1233067</v>
      </c>
      <c r="H24" s="122">
        <f t="shared" si="2"/>
        <v>0</v>
      </c>
      <c r="I24" s="122">
        <f t="shared" si="2"/>
        <v>20000</v>
      </c>
      <c r="J24" s="122">
        <f t="shared" si="2"/>
        <v>231774916</v>
      </c>
      <c r="K24" s="123">
        <f t="shared" si="2"/>
        <v>133972629</v>
      </c>
      <c r="L24" s="122">
        <f t="shared" si="2"/>
        <v>97802287</v>
      </c>
    </row>
    <row r="25" spans="1:12" x14ac:dyDescent="0.3">
      <c r="A25" s="254" t="s">
        <v>11</v>
      </c>
      <c r="B25" s="264" t="s">
        <v>23</v>
      </c>
      <c r="C25" s="2" t="s">
        <v>24</v>
      </c>
      <c r="D25" s="3">
        <v>35883092</v>
      </c>
      <c r="E25" s="3">
        <v>35716284</v>
      </c>
      <c r="F25" s="3">
        <f>(SUM('2019.06.30.'!F25,'2019.07.31.'!F25,'2019.08.31.'!F25))-100000</f>
        <v>-277304</v>
      </c>
      <c r="G25" s="3"/>
      <c r="H25" s="3"/>
      <c r="I25" s="3"/>
      <c r="J25" s="20">
        <f t="shared" ref="J25:J31" si="3">E25+F25+G25+H25+I25</f>
        <v>35438980</v>
      </c>
      <c r="K25" s="108">
        <v>21352561</v>
      </c>
      <c r="L25" s="3">
        <f t="shared" ref="L25:L31" si="4">J25-K25</f>
        <v>14086419</v>
      </c>
    </row>
    <row r="26" spans="1:12" x14ac:dyDescent="0.3">
      <c r="A26" s="254"/>
      <c r="B26" s="268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08">
        <v>725000</v>
      </c>
      <c r="L26" s="3">
        <f t="shared" si="4"/>
        <v>817000</v>
      </c>
    </row>
    <row r="27" spans="1:12" x14ac:dyDescent="0.3">
      <c r="A27" s="254"/>
      <c r="B27" s="268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08">
        <v>0</v>
      </c>
      <c r="L27" s="3">
        <f t="shared" si="4"/>
        <v>80000</v>
      </c>
    </row>
    <row r="28" spans="1:12" x14ac:dyDescent="0.3">
      <c r="A28" s="254"/>
      <c r="B28" s="268"/>
      <c r="C28" s="2" t="s">
        <v>27</v>
      </c>
      <c r="D28" s="3">
        <v>893400</v>
      </c>
      <c r="E28" s="3">
        <v>893400</v>
      </c>
      <c r="F28" s="3">
        <f>SUM('2019.07.31.'!F28)</f>
        <v>-5814</v>
      </c>
      <c r="G28" s="3"/>
      <c r="H28" s="3"/>
      <c r="I28" s="3"/>
      <c r="J28" s="20">
        <f t="shared" si="3"/>
        <v>887586</v>
      </c>
      <c r="K28" s="108">
        <v>457178</v>
      </c>
      <c r="L28" s="3">
        <f t="shared" si="4"/>
        <v>430408</v>
      </c>
    </row>
    <row r="29" spans="1:12" x14ac:dyDescent="0.3">
      <c r="A29" s="254"/>
      <c r="B29" s="268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08">
        <v>93000</v>
      </c>
      <c r="L29" s="3">
        <f t="shared" si="4"/>
        <v>97000</v>
      </c>
    </row>
    <row r="30" spans="1:12" x14ac:dyDescent="0.3">
      <c r="A30" s="254"/>
      <c r="B30" s="268"/>
      <c r="C30" s="2" t="s">
        <v>29</v>
      </c>
      <c r="D30" s="3">
        <v>1086500</v>
      </c>
      <c r="E30" s="3">
        <v>1265178</v>
      </c>
      <c r="F30" s="3">
        <f>(SUM('2019.06.30.'!F30,'2019.07.31.'!F30,'2019.08.31.'!F30))+100000</f>
        <v>219001</v>
      </c>
      <c r="G30" s="3"/>
      <c r="H30" s="3"/>
      <c r="I30" s="3"/>
      <c r="J30" s="20">
        <f t="shared" si="3"/>
        <v>1484179</v>
      </c>
      <c r="K30" s="108">
        <v>434161</v>
      </c>
      <c r="L30" s="3">
        <f t="shared" si="4"/>
        <v>1050018</v>
      </c>
    </row>
    <row r="31" spans="1:12" x14ac:dyDescent="0.3">
      <c r="A31" s="254"/>
      <c r="B31" s="268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08">
        <v>13902</v>
      </c>
      <c r="L31" s="3">
        <f t="shared" si="4"/>
        <v>86098</v>
      </c>
    </row>
    <row r="32" spans="1:12" x14ac:dyDescent="0.3">
      <c r="A32" s="254"/>
      <c r="B32" s="268"/>
      <c r="C32" s="6" t="s">
        <v>53</v>
      </c>
      <c r="D32" s="7">
        <f>SUM(D25:D31)</f>
        <v>39774992</v>
      </c>
      <c r="E32" s="7">
        <f>SUM(E25:E31)</f>
        <v>39786862</v>
      </c>
      <c r="F32" s="7">
        <f t="shared" ref="F32:L32" si="5">SUM(F25:F31)</f>
        <v>-64117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0">
        <f t="shared" si="5"/>
        <v>23075802</v>
      </c>
      <c r="L32" s="7">
        <f t="shared" si="5"/>
        <v>16646943</v>
      </c>
    </row>
    <row r="33" spans="1:12" x14ac:dyDescent="0.3">
      <c r="A33" s="254"/>
      <c r="B33" s="268"/>
      <c r="C33" s="82" t="s">
        <v>31</v>
      </c>
      <c r="D33" s="83">
        <v>7793417</v>
      </c>
      <c r="E33" s="83">
        <v>7795732</v>
      </c>
      <c r="F33" s="83"/>
      <c r="G33" s="83"/>
      <c r="H33" s="83"/>
      <c r="I33" s="83"/>
      <c r="J33" s="84">
        <f t="shared" ref="J33:J47" si="6">E33+F33+G33+H33+I33</f>
        <v>7795732</v>
      </c>
      <c r="K33" s="111">
        <v>4764032</v>
      </c>
      <c r="L33" s="85">
        <f t="shared" ref="L33:L47" si="7">J33-K33</f>
        <v>3031700</v>
      </c>
    </row>
    <row r="34" spans="1:12" x14ac:dyDescent="0.3">
      <c r="A34" s="254"/>
      <c r="B34" s="268"/>
      <c r="C34" s="2" t="s">
        <v>32</v>
      </c>
      <c r="D34" s="3">
        <v>105000</v>
      </c>
      <c r="E34" s="3">
        <v>105000</v>
      </c>
      <c r="F34" s="3"/>
      <c r="G34" s="3"/>
      <c r="H34" s="3"/>
      <c r="I34" s="3">
        <v>5000</v>
      </c>
      <c r="J34" s="20">
        <f t="shared" si="6"/>
        <v>110000</v>
      </c>
      <c r="K34" s="108">
        <v>24818</v>
      </c>
      <c r="L34" s="3">
        <f t="shared" si="7"/>
        <v>85182</v>
      </c>
    </row>
    <row r="35" spans="1:12" x14ac:dyDescent="0.3">
      <c r="A35" s="254"/>
      <c r="B35" s="268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08">
        <v>1922</v>
      </c>
      <c r="L35" s="3">
        <f t="shared" si="7"/>
        <v>498078</v>
      </c>
    </row>
    <row r="36" spans="1:12" x14ac:dyDescent="0.3">
      <c r="A36" s="254"/>
      <c r="B36" s="268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08">
        <v>80797</v>
      </c>
      <c r="L36" s="3">
        <f t="shared" si="7"/>
        <v>132203</v>
      </c>
    </row>
    <row r="37" spans="1:12" x14ac:dyDescent="0.3">
      <c r="A37" s="254"/>
      <c r="B37" s="268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08">
        <v>45024</v>
      </c>
      <c r="L37" s="3">
        <f t="shared" si="7"/>
        <v>116976</v>
      </c>
    </row>
    <row r="38" spans="1:12" x14ac:dyDescent="0.3">
      <c r="A38" s="254"/>
      <c r="B38" s="268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08">
        <v>367907</v>
      </c>
      <c r="L38" s="3">
        <f t="shared" si="7"/>
        <v>201633</v>
      </c>
    </row>
    <row r="39" spans="1:12" x14ac:dyDescent="0.3">
      <c r="A39" s="254"/>
      <c r="B39" s="268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08">
        <v>0</v>
      </c>
      <c r="L39" s="3">
        <f t="shared" si="7"/>
        <v>3000</v>
      </c>
    </row>
    <row r="40" spans="1:12" x14ac:dyDescent="0.3">
      <c r="A40" s="254"/>
      <c r="B40" s="268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08">
        <v>168339</v>
      </c>
      <c r="L40" s="3">
        <f t="shared" si="7"/>
        <v>288161</v>
      </c>
    </row>
    <row r="41" spans="1:12" x14ac:dyDescent="0.3">
      <c r="A41" s="254"/>
      <c r="B41" s="268"/>
      <c r="C41" s="2" t="s">
        <v>39</v>
      </c>
      <c r="D41" s="3">
        <v>13200</v>
      </c>
      <c r="E41" s="3">
        <v>16540</v>
      </c>
      <c r="F41" s="3">
        <f>SUM('2019.08.31.'!F41)</f>
        <v>5386</v>
      </c>
      <c r="G41" s="3"/>
      <c r="H41" s="3"/>
      <c r="I41" s="3">
        <v>10000</v>
      </c>
      <c r="J41" s="20">
        <f t="shared" si="6"/>
        <v>31926</v>
      </c>
      <c r="K41" s="108">
        <v>21926</v>
      </c>
      <c r="L41" s="3">
        <f t="shared" si="7"/>
        <v>10000</v>
      </c>
    </row>
    <row r="42" spans="1:12" x14ac:dyDescent="0.3">
      <c r="A42" s="254"/>
      <c r="B42" s="268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08">
        <v>53500</v>
      </c>
      <c r="L42" s="3">
        <f t="shared" si="7"/>
        <v>84300</v>
      </c>
    </row>
    <row r="43" spans="1:12" x14ac:dyDescent="0.3">
      <c r="A43" s="254"/>
      <c r="B43" s="268"/>
      <c r="C43" s="2" t="s">
        <v>41</v>
      </c>
      <c r="D43" s="3">
        <v>582236</v>
      </c>
      <c r="E43" s="3">
        <v>583896</v>
      </c>
      <c r="F43" s="3">
        <f>SUM('2019.08.31.'!F43)</f>
        <v>-5386</v>
      </c>
      <c r="G43" s="3"/>
      <c r="H43" s="3"/>
      <c r="I43" s="3"/>
      <c r="J43" s="20">
        <f t="shared" si="6"/>
        <v>578510</v>
      </c>
      <c r="K43" s="108">
        <v>448061</v>
      </c>
      <c r="L43" s="3">
        <f t="shared" si="7"/>
        <v>130449</v>
      </c>
    </row>
    <row r="44" spans="1:12" x14ac:dyDescent="0.3">
      <c r="A44" s="254"/>
      <c r="B44" s="268"/>
      <c r="C44" s="2" t="s">
        <v>42</v>
      </c>
      <c r="D44" s="3">
        <v>552000</v>
      </c>
      <c r="E44" s="3">
        <v>539440</v>
      </c>
      <c r="F44" s="3">
        <f>SUM('2019.07.31.'!F44)</f>
        <v>-5395</v>
      </c>
      <c r="G44" s="3"/>
      <c r="H44" s="3"/>
      <c r="I44" s="3"/>
      <c r="J44" s="20">
        <f t="shared" si="6"/>
        <v>534045</v>
      </c>
      <c r="K44" s="108">
        <v>258335</v>
      </c>
      <c r="L44" s="3">
        <f t="shared" si="7"/>
        <v>275710</v>
      </c>
    </row>
    <row r="45" spans="1:12" x14ac:dyDescent="0.3">
      <c r="A45" s="254"/>
      <c r="B45" s="268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08">
        <v>0</v>
      </c>
      <c r="L45" s="3">
        <f t="shared" si="7"/>
        <v>30000</v>
      </c>
    </row>
    <row r="46" spans="1:12" x14ac:dyDescent="0.3">
      <c r="A46" s="254"/>
      <c r="B46" s="268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08">
        <v>120393</v>
      </c>
      <c r="L46" s="3">
        <f t="shared" si="7"/>
        <v>98042</v>
      </c>
    </row>
    <row r="47" spans="1:12" x14ac:dyDescent="0.3">
      <c r="A47" s="254"/>
      <c r="B47" s="268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08">
        <v>48233</v>
      </c>
      <c r="L47" s="3">
        <f t="shared" si="7"/>
        <v>27531</v>
      </c>
    </row>
    <row r="48" spans="1:12" x14ac:dyDescent="0.3">
      <c r="A48" s="254"/>
      <c r="B48" s="268"/>
      <c r="C48" s="6" t="s">
        <v>49</v>
      </c>
      <c r="D48" s="7">
        <f>SUM(D34:D47)</f>
        <v>3863610</v>
      </c>
      <c r="E48" s="7">
        <f>SUM(E34:E47)</f>
        <v>3610915</v>
      </c>
      <c r="F48" s="7">
        <f t="shared" ref="F48:L48" si="8">SUM(F34:F47)</f>
        <v>-5395</v>
      </c>
      <c r="G48" s="7">
        <f t="shared" si="8"/>
        <v>0</v>
      </c>
      <c r="H48" s="7">
        <f t="shared" si="8"/>
        <v>0</v>
      </c>
      <c r="I48" s="7">
        <f t="shared" si="8"/>
        <v>15000</v>
      </c>
      <c r="J48" s="7">
        <f t="shared" si="8"/>
        <v>3620520</v>
      </c>
      <c r="K48" s="110">
        <f t="shared" si="8"/>
        <v>1639255</v>
      </c>
      <c r="L48" s="7">
        <f t="shared" si="8"/>
        <v>1981265</v>
      </c>
    </row>
    <row r="49" spans="1:12" x14ac:dyDescent="0.3">
      <c r="A49" s="254"/>
      <c r="B49" s="268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08">
        <v>0</v>
      </c>
      <c r="L49" s="3">
        <f t="shared" ref="L49:L50" si="10">J49-K49</f>
        <v>78740</v>
      </c>
    </row>
    <row r="50" spans="1:12" x14ac:dyDescent="0.3">
      <c r="A50" s="254"/>
      <c r="B50" s="268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08">
        <v>0</v>
      </c>
      <c r="L50" s="3">
        <f t="shared" si="10"/>
        <v>21260</v>
      </c>
    </row>
    <row r="51" spans="1:12" x14ac:dyDescent="0.3">
      <c r="A51" s="254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0">
        <f t="shared" si="11"/>
        <v>0</v>
      </c>
      <c r="L51" s="7">
        <f t="shared" si="11"/>
        <v>100000</v>
      </c>
    </row>
    <row r="52" spans="1:12" x14ac:dyDescent="0.3">
      <c r="A52" s="254"/>
      <c r="B52" s="261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08">
        <v>15043672</v>
      </c>
      <c r="L52" s="3">
        <f t="shared" ref="L52:L60" si="13">J52-K52</f>
        <v>10099609</v>
      </c>
    </row>
    <row r="53" spans="1:12" x14ac:dyDescent="0.3">
      <c r="A53" s="254"/>
      <c r="B53" s="261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08">
        <v>1270865</v>
      </c>
      <c r="L53" s="3">
        <f t="shared" si="13"/>
        <v>769615</v>
      </c>
    </row>
    <row r="54" spans="1:12" x14ac:dyDescent="0.3">
      <c r="A54" s="254"/>
      <c r="B54" s="261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08">
        <v>0</v>
      </c>
      <c r="L54" s="3">
        <f t="shared" si="13"/>
        <v>0</v>
      </c>
    </row>
    <row r="55" spans="1:12" x14ac:dyDescent="0.3">
      <c r="A55" s="254"/>
      <c r="B55" s="261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08">
        <v>450000</v>
      </c>
      <c r="L55" s="3">
        <f t="shared" si="13"/>
        <v>575000</v>
      </c>
    </row>
    <row r="56" spans="1:12" x14ac:dyDescent="0.3">
      <c r="A56" s="254"/>
      <c r="B56" s="261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08">
        <v>0</v>
      </c>
      <c r="L56" s="3">
        <f t="shared" si="13"/>
        <v>60000</v>
      </c>
    </row>
    <row r="57" spans="1:12" x14ac:dyDescent="0.3">
      <c r="A57" s="254"/>
      <c r="B57" s="261"/>
      <c r="C57" s="2" t="s">
        <v>27</v>
      </c>
      <c r="D57" s="3">
        <v>240000</v>
      </c>
      <c r="E57" s="3">
        <v>240000</v>
      </c>
      <c r="F57" s="3">
        <f>SUM('2019.06.30.'!F57,'2019.08.31.'!F57)</f>
        <v>-10098</v>
      </c>
      <c r="G57" s="3"/>
      <c r="H57" s="3"/>
      <c r="I57" s="3"/>
      <c r="J57" s="20">
        <f t="shared" si="12"/>
        <v>229902</v>
      </c>
      <c r="K57" s="108">
        <v>103320</v>
      </c>
      <c r="L57" s="3">
        <f t="shared" si="13"/>
        <v>126582</v>
      </c>
    </row>
    <row r="58" spans="1:12" x14ac:dyDescent="0.3">
      <c r="A58" s="254"/>
      <c r="B58" s="261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08">
        <v>57000</v>
      </c>
      <c r="L58" s="3">
        <f t="shared" si="13"/>
        <v>90000</v>
      </c>
    </row>
    <row r="59" spans="1:12" x14ac:dyDescent="0.3">
      <c r="A59" s="254"/>
      <c r="B59" s="261"/>
      <c r="C59" s="2" t="s">
        <v>29</v>
      </c>
      <c r="D59" s="3">
        <v>553500</v>
      </c>
      <c r="E59" s="3">
        <v>553500</v>
      </c>
      <c r="F59" s="3">
        <f>SUM('2019.08.31.'!F59)</f>
        <v>-30420</v>
      </c>
      <c r="G59" s="3"/>
      <c r="H59" s="3"/>
      <c r="I59" s="3"/>
      <c r="J59" s="20">
        <f t="shared" si="12"/>
        <v>523080</v>
      </c>
      <c r="K59" s="108">
        <v>385988</v>
      </c>
      <c r="L59" s="3">
        <f t="shared" si="13"/>
        <v>137092</v>
      </c>
    </row>
    <row r="60" spans="1:12" x14ac:dyDescent="0.3">
      <c r="A60" s="254"/>
      <c r="B60" s="261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08">
        <v>13902</v>
      </c>
      <c r="L60" s="3">
        <f t="shared" si="13"/>
        <v>86098</v>
      </c>
    </row>
    <row r="61" spans="1:12" x14ac:dyDescent="0.3">
      <c r="A61" s="254"/>
      <c r="B61" s="261"/>
      <c r="C61" s="6" t="s">
        <v>53</v>
      </c>
      <c r="D61" s="7">
        <f>SUM(D52:D60)</f>
        <v>29289325</v>
      </c>
      <c r="E61" s="7">
        <f>SUM(E52:E60)</f>
        <v>29309261</v>
      </c>
      <c r="F61" s="7">
        <f t="shared" ref="F61:L61" si="14">SUM(F52:F60)</f>
        <v>-40518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0">
        <f t="shared" si="14"/>
        <v>17324747</v>
      </c>
      <c r="L61" s="7">
        <f t="shared" si="14"/>
        <v>11943996</v>
      </c>
    </row>
    <row r="62" spans="1:12" x14ac:dyDescent="0.3">
      <c r="A62" s="254"/>
      <c r="B62" s="261"/>
      <c r="C62" s="82" t="s">
        <v>31</v>
      </c>
      <c r="D62" s="83">
        <v>5849797</v>
      </c>
      <c r="E62" s="83">
        <v>5853685</v>
      </c>
      <c r="F62" s="83"/>
      <c r="G62" s="83"/>
      <c r="H62" s="83"/>
      <c r="I62" s="83"/>
      <c r="J62" s="84">
        <f t="shared" ref="J62:J75" si="15">E62+F62+G62+H62+I62</f>
        <v>5853685</v>
      </c>
      <c r="K62" s="111">
        <v>3678022</v>
      </c>
      <c r="L62" s="85">
        <f t="shared" ref="L62:L75" si="16">J62-K62</f>
        <v>2175663</v>
      </c>
    </row>
    <row r="63" spans="1:12" x14ac:dyDescent="0.3">
      <c r="A63" s="254"/>
      <c r="B63" s="261"/>
      <c r="C63" s="2" t="s">
        <v>32</v>
      </c>
      <c r="D63" s="3">
        <v>105000</v>
      </c>
      <c r="E63" s="3">
        <v>105000</v>
      </c>
      <c r="F63" s="3"/>
      <c r="G63" s="3"/>
      <c r="H63" s="3"/>
      <c r="I63" s="3">
        <v>5000</v>
      </c>
      <c r="J63" s="20">
        <f t="shared" si="15"/>
        <v>110000</v>
      </c>
      <c r="K63" s="108">
        <v>24820</v>
      </c>
      <c r="L63" s="3">
        <f t="shared" si="16"/>
        <v>85180</v>
      </c>
    </row>
    <row r="64" spans="1:12" x14ac:dyDescent="0.3">
      <c r="A64" s="254"/>
      <c r="B64" s="261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08">
        <v>36894</v>
      </c>
      <c r="L64" s="3">
        <f t="shared" si="16"/>
        <v>663106</v>
      </c>
    </row>
    <row r="65" spans="1:12" x14ac:dyDescent="0.3">
      <c r="A65" s="254"/>
      <c r="B65" s="261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08">
        <v>73179</v>
      </c>
      <c r="L65" s="3">
        <f t="shared" si="16"/>
        <v>139821</v>
      </c>
    </row>
    <row r="66" spans="1:12" x14ac:dyDescent="0.3">
      <c r="A66" s="254"/>
      <c r="B66" s="261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08">
        <v>76807</v>
      </c>
      <c r="L66" s="3">
        <f t="shared" si="16"/>
        <v>45393</v>
      </c>
    </row>
    <row r="67" spans="1:12" x14ac:dyDescent="0.3">
      <c r="A67" s="254"/>
      <c r="B67" s="261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08">
        <v>444442</v>
      </c>
      <c r="L67" s="3">
        <f t="shared" si="16"/>
        <v>225098</v>
      </c>
    </row>
    <row r="68" spans="1:12" x14ac:dyDescent="0.3">
      <c r="A68" s="254"/>
      <c r="B68" s="261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08">
        <v>0</v>
      </c>
      <c r="L68" s="3">
        <f t="shared" si="16"/>
        <v>123000</v>
      </c>
    </row>
    <row r="69" spans="1:12" x14ac:dyDescent="0.3">
      <c r="A69" s="254"/>
      <c r="B69" s="261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08">
        <v>172839</v>
      </c>
      <c r="L69" s="3">
        <f t="shared" si="16"/>
        <v>287161</v>
      </c>
    </row>
    <row r="70" spans="1:12" x14ac:dyDescent="0.3">
      <c r="A70" s="254"/>
      <c r="B70" s="261"/>
      <c r="C70" s="2" t="s">
        <v>40</v>
      </c>
      <c r="D70" s="3">
        <v>1361904</v>
      </c>
      <c r="E70" s="3">
        <v>1361904</v>
      </c>
      <c r="F70" s="3">
        <v>-75000</v>
      </c>
      <c r="G70" s="3"/>
      <c r="H70" s="3"/>
      <c r="I70" s="3"/>
      <c r="J70" s="20">
        <f t="shared" si="15"/>
        <v>1286904</v>
      </c>
      <c r="K70" s="108">
        <v>481594</v>
      </c>
      <c r="L70" s="3">
        <f t="shared" si="16"/>
        <v>805310</v>
      </c>
    </row>
    <row r="71" spans="1:12" x14ac:dyDescent="0.3">
      <c r="A71" s="254"/>
      <c r="B71" s="261"/>
      <c r="C71" s="2" t="s">
        <v>41</v>
      </c>
      <c r="D71" s="3">
        <v>982236</v>
      </c>
      <c r="E71" s="3">
        <v>982236</v>
      </c>
      <c r="F71" s="3">
        <f>SUM('2019.06.30.'!F71)</f>
        <v>-1685</v>
      </c>
      <c r="G71" s="3"/>
      <c r="H71" s="3"/>
      <c r="I71" s="3"/>
      <c r="J71" s="20">
        <f t="shared" si="15"/>
        <v>980551</v>
      </c>
      <c r="K71" s="108">
        <v>593361</v>
      </c>
      <c r="L71" s="3">
        <f t="shared" si="16"/>
        <v>387190</v>
      </c>
    </row>
    <row r="72" spans="1:12" x14ac:dyDescent="0.3">
      <c r="A72" s="254"/>
      <c r="B72" s="261"/>
      <c r="C72" s="2" t="s">
        <v>42</v>
      </c>
      <c r="D72" s="3">
        <v>1200000</v>
      </c>
      <c r="E72" s="3">
        <v>1147960</v>
      </c>
      <c r="F72" s="3">
        <f>SUM('2019.06.30.'!F72,'2019.08.31.'!F72)</f>
        <v>-8915</v>
      </c>
      <c r="G72" s="3"/>
      <c r="H72" s="3"/>
      <c r="I72" s="3"/>
      <c r="J72" s="20">
        <f t="shared" si="15"/>
        <v>1139045</v>
      </c>
      <c r="K72" s="108">
        <v>244790</v>
      </c>
      <c r="L72" s="3">
        <f t="shared" si="16"/>
        <v>894255</v>
      </c>
    </row>
    <row r="73" spans="1:12" x14ac:dyDescent="0.3">
      <c r="A73" s="254"/>
      <c r="B73" s="261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08">
        <v>0</v>
      </c>
      <c r="L73" s="3">
        <f t="shared" si="16"/>
        <v>30000</v>
      </c>
    </row>
    <row r="74" spans="1:12" x14ac:dyDescent="0.3">
      <c r="A74" s="254"/>
      <c r="B74" s="261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08">
        <v>242031</v>
      </c>
      <c r="L74" s="3">
        <f t="shared" si="16"/>
        <v>738392</v>
      </c>
    </row>
    <row r="75" spans="1:12" x14ac:dyDescent="0.3">
      <c r="A75" s="254"/>
      <c r="B75" s="261"/>
      <c r="C75" s="2" t="s">
        <v>45</v>
      </c>
      <c r="D75" s="3">
        <v>433021</v>
      </c>
      <c r="E75" s="3">
        <v>160403</v>
      </c>
      <c r="F75" s="3">
        <f>SUM('2019.07.31.'!F75)</f>
        <v>-26400</v>
      </c>
      <c r="G75" s="3"/>
      <c r="H75" s="3"/>
      <c r="I75" s="3"/>
      <c r="J75" s="20">
        <f t="shared" si="15"/>
        <v>134003</v>
      </c>
      <c r="K75" s="108">
        <v>0</v>
      </c>
      <c r="L75" s="3">
        <f t="shared" si="16"/>
        <v>134003</v>
      </c>
    </row>
    <row r="76" spans="1:12" x14ac:dyDescent="0.3">
      <c r="A76" s="254"/>
      <c r="B76" s="261"/>
      <c r="C76" s="6" t="s">
        <v>49</v>
      </c>
      <c r="D76" s="7">
        <f>SUM(D63:D75)</f>
        <v>7607209</v>
      </c>
      <c r="E76" s="7">
        <f>SUM(E63:E75)</f>
        <v>7055666</v>
      </c>
      <c r="F76" s="7">
        <f t="shared" ref="F76:L76" si="17">SUM(F63:F75)</f>
        <v>-112000</v>
      </c>
      <c r="G76" s="7">
        <f t="shared" si="17"/>
        <v>0</v>
      </c>
      <c r="H76" s="7">
        <f t="shared" si="17"/>
        <v>0</v>
      </c>
      <c r="I76" s="7">
        <f t="shared" si="17"/>
        <v>5000</v>
      </c>
      <c r="J76" s="7">
        <f t="shared" si="17"/>
        <v>6948666</v>
      </c>
      <c r="K76" s="110">
        <f t="shared" si="17"/>
        <v>2390757</v>
      </c>
      <c r="L76" s="7">
        <f t="shared" si="17"/>
        <v>4557909</v>
      </c>
    </row>
    <row r="77" spans="1:12" x14ac:dyDescent="0.3">
      <c r="A77" s="254"/>
      <c r="B77" s="261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08">
        <v>0</v>
      </c>
      <c r="L77" s="3">
        <f t="shared" ref="L77:L78" si="19">J77-K77</f>
        <v>78740</v>
      </c>
    </row>
    <row r="78" spans="1:12" x14ac:dyDescent="0.3">
      <c r="A78" s="254"/>
      <c r="B78" s="261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08">
        <v>0</v>
      </c>
      <c r="L78" s="3">
        <f t="shared" si="19"/>
        <v>21260</v>
      </c>
    </row>
    <row r="79" spans="1:12" x14ac:dyDescent="0.3">
      <c r="A79" s="254"/>
      <c r="B79" s="261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0">
        <f t="shared" si="20"/>
        <v>0</v>
      </c>
      <c r="L79" s="7">
        <f t="shared" si="20"/>
        <v>100000</v>
      </c>
    </row>
    <row r="80" spans="1:12" x14ac:dyDescent="0.3">
      <c r="A80" s="281" t="s">
        <v>58</v>
      </c>
      <c r="B80" s="280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08">
        <v>286600</v>
      </c>
      <c r="L80" s="3">
        <f t="shared" ref="L80:L87" si="22">J80-K80</f>
        <v>123800</v>
      </c>
    </row>
    <row r="81" spans="1:12" x14ac:dyDescent="0.3">
      <c r="A81" s="282"/>
      <c r="B81" s="28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08">
        <v>55159</v>
      </c>
      <c r="L81" s="3">
        <f t="shared" si="22"/>
        <v>21107</v>
      </c>
    </row>
    <row r="82" spans="1:12" x14ac:dyDescent="0.3">
      <c r="A82" s="281" t="s">
        <v>59</v>
      </c>
      <c r="B82" s="280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08">
        <v>235800</v>
      </c>
      <c r="L82" s="3">
        <f t="shared" si="22"/>
        <v>367800</v>
      </c>
    </row>
    <row r="83" spans="1:12" x14ac:dyDescent="0.3">
      <c r="A83" s="282"/>
      <c r="B83" s="28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08">
        <v>45452</v>
      </c>
      <c r="L83" s="3">
        <f t="shared" si="22"/>
        <v>66717</v>
      </c>
    </row>
    <row r="84" spans="1:12" x14ac:dyDescent="0.3">
      <c r="A84" s="281" t="s">
        <v>60</v>
      </c>
      <c r="B84" s="280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08">
        <v>6886332</v>
      </c>
      <c r="L84" s="3">
        <f t="shared" si="22"/>
        <v>3789894</v>
      </c>
    </row>
    <row r="85" spans="1:12" x14ac:dyDescent="0.3">
      <c r="A85" s="282"/>
      <c r="B85" s="28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08">
        <v>1325339</v>
      </c>
      <c r="L85" s="3">
        <f t="shared" si="22"/>
        <v>663926</v>
      </c>
    </row>
    <row r="86" spans="1:12" x14ac:dyDescent="0.3">
      <c r="A86" s="281" t="s">
        <v>61</v>
      </c>
      <c r="B86" s="280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08">
        <v>5045597</v>
      </c>
      <c r="L86" s="3">
        <f t="shared" si="22"/>
        <v>3352077</v>
      </c>
    </row>
    <row r="87" spans="1:12" x14ac:dyDescent="0.3">
      <c r="A87" s="282"/>
      <c r="B87" s="28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08">
        <v>971239</v>
      </c>
      <c r="L87" s="3">
        <f t="shared" si="22"/>
        <v>592114</v>
      </c>
    </row>
    <row r="88" spans="1:12" x14ac:dyDescent="0.3">
      <c r="A88" s="346" t="s">
        <v>76</v>
      </c>
      <c r="B88" s="347"/>
      <c r="C88" s="348"/>
      <c r="D88" s="122">
        <f t="shared" ref="D88" si="23">SUM(D32+D33+D48+D51+D61+D62+D76+D79+D80+D81+D82+D83+D84+D85+D86+D87)</f>
        <v>118207303</v>
      </c>
      <c r="E88" s="122">
        <f>SUM(E32,E33,E48,E51,E61,E62,E76,E79,E80:E87)</f>
        <v>117441074</v>
      </c>
      <c r="F88" s="122">
        <f t="shared" ref="F88:L88" si="24">SUM(F32+F33+F48+F51+F61+F62+F76+F79+F80+F81+F82+F83+F84+F85+F86+F87)</f>
        <v>-222030</v>
      </c>
      <c r="G88" s="122">
        <f t="shared" si="24"/>
        <v>0</v>
      </c>
      <c r="H88" s="122">
        <f t="shared" si="24"/>
        <v>0</v>
      </c>
      <c r="I88" s="122">
        <f t="shared" si="24"/>
        <v>20000</v>
      </c>
      <c r="J88" s="122">
        <f t="shared" si="24"/>
        <v>117239044</v>
      </c>
      <c r="K88" s="124">
        <f t="shared" si="24"/>
        <v>67724133</v>
      </c>
      <c r="L88" s="122">
        <f t="shared" si="24"/>
        <v>49514911</v>
      </c>
    </row>
    <row r="89" spans="1:12" x14ac:dyDescent="0.3">
      <c r="A89" s="254" t="s">
        <v>12</v>
      </c>
      <c r="B89" s="261" t="s">
        <v>23</v>
      </c>
      <c r="C89" s="2" t="s">
        <v>24</v>
      </c>
      <c r="D89" s="3">
        <v>4811583</v>
      </c>
      <c r="E89" s="3">
        <v>4811583</v>
      </c>
      <c r="F89" s="3">
        <f>(SUM('2019.07.31.'!F89))-100000</f>
        <v>-178715</v>
      </c>
      <c r="G89" s="3">
        <v>269597</v>
      </c>
      <c r="H89" s="3"/>
      <c r="I89" s="3"/>
      <c r="J89" s="20">
        <f t="shared" ref="J89:J95" si="25">E89+F89+G89+H89+I89</f>
        <v>4902465</v>
      </c>
      <c r="K89" s="108">
        <v>2978552</v>
      </c>
      <c r="L89" s="3">
        <f t="shared" ref="L89:L95" si="26">J89-K89</f>
        <v>1923913</v>
      </c>
    </row>
    <row r="90" spans="1:12" x14ac:dyDescent="0.3">
      <c r="A90" s="254"/>
      <c r="B90" s="261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08">
        <v>100000</v>
      </c>
      <c r="L90" s="3">
        <f t="shared" si="26"/>
        <v>100000</v>
      </c>
    </row>
    <row r="91" spans="1:12" x14ac:dyDescent="0.3">
      <c r="A91" s="254"/>
      <c r="B91" s="261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08">
        <v>0</v>
      </c>
      <c r="L91" s="3">
        <f t="shared" si="26"/>
        <v>10000</v>
      </c>
    </row>
    <row r="92" spans="1:12" x14ac:dyDescent="0.3">
      <c r="A92" s="254"/>
      <c r="B92" s="261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08">
        <v>89100</v>
      </c>
      <c r="L92" s="3">
        <f t="shared" si="26"/>
        <v>108900</v>
      </c>
    </row>
    <row r="93" spans="1:12" x14ac:dyDescent="0.3">
      <c r="A93" s="254"/>
      <c r="B93" s="261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08">
        <v>12000</v>
      </c>
      <c r="L93" s="3">
        <f t="shared" si="26"/>
        <v>12000</v>
      </c>
    </row>
    <row r="94" spans="1:12" x14ac:dyDescent="0.3">
      <c r="A94" s="254"/>
      <c r="B94" s="261"/>
      <c r="C94" s="2" t="s">
        <v>29</v>
      </c>
      <c r="D94" s="3">
        <v>75000</v>
      </c>
      <c r="E94" s="3">
        <v>75000</v>
      </c>
      <c r="F94" s="3">
        <f>(SUM('2019.07.31.'!F94))+100000</f>
        <v>178715</v>
      </c>
      <c r="G94" s="3"/>
      <c r="H94" s="3"/>
      <c r="I94" s="3"/>
      <c r="J94" s="20">
        <f t="shared" si="25"/>
        <v>253715</v>
      </c>
      <c r="K94" s="108">
        <v>78715</v>
      </c>
      <c r="L94" s="3">
        <f t="shared" si="26"/>
        <v>175000</v>
      </c>
    </row>
    <row r="95" spans="1:12" x14ac:dyDescent="0.3">
      <c r="A95" s="254"/>
      <c r="B95" s="261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08">
        <v>0</v>
      </c>
      <c r="L95" s="3">
        <f t="shared" si="26"/>
        <v>0</v>
      </c>
    </row>
    <row r="96" spans="1:12" x14ac:dyDescent="0.3">
      <c r="A96" s="254"/>
      <c r="B96" s="261"/>
      <c r="C96" s="6" t="s">
        <v>53</v>
      </c>
      <c r="D96" s="7">
        <f>SUM(D89:D95)</f>
        <v>5318583</v>
      </c>
      <c r="E96" s="7">
        <f>SUM(E89:E95)</f>
        <v>5318583</v>
      </c>
      <c r="F96" s="7">
        <f t="shared" ref="F96:L96" si="27">SUM(F89:F95)</f>
        <v>0</v>
      </c>
      <c r="G96" s="7">
        <f t="shared" si="27"/>
        <v>269597</v>
      </c>
      <c r="H96" s="7">
        <f t="shared" si="27"/>
        <v>0</v>
      </c>
      <c r="I96" s="7">
        <f t="shared" si="27"/>
        <v>0</v>
      </c>
      <c r="J96" s="7">
        <f t="shared" si="27"/>
        <v>5588180</v>
      </c>
      <c r="K96" s="110">
        <f t="shared" si="27"/>
        <v>3258367</v>
      </c>
      <c r="L96" s="7">
        <f t="shared" si="27"/>
        <v>2329813</v>
      </c>
    </row>
    <row r="97" spans="1:12" x14ac:dyDescent="0.3">
      <c r="A97" s="254"/>
      <c r="B97" s="261"/>
      <c r="C97" s="82" t="s">
        <v>31</v>
      </c>
      <c r="D97" s="83">
        <v>1035556</v>
      </c>
      <c r="E97" s="83">
        <v>1035556</v>
      </c>
      <c r="F97" s="83"/>
      <c r="G97" s="83">
        <v>52571</v>
      </c>
      <c r="H97" s="83"/>
      <c r="I97" s="83"/>
      <c r="J97" s="84">
        <f t="shared" ref="J97:J107" si="28">E97+F97+G97+H97+I97</f>
        <v>1088127</v>
      </c>
      <c r="K97" s="111">
        <v>665076</v>
      </c>
      <c r="L97" s="85">
        <f t="shared" ref="L97:L107" si="29">J97-K97</f>
        <v>423051</v>
      </c>
    </row>
    <row r="98" spans="1:12" x14ac:dyDescent="0.3">
      <c r="A98" s="254"/>
      <c r="B98" s="261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08">
        <v>0</v>
      </c>
      <c r="L98" s="3">
        <f t="shared" si="29"/>
        <v>100000</v>
      </c>
    </row>
    <row r="99" spans="1:12" x14ac:dyDescent="0.3">
      <c r="A99" s="254"/>
      <c r="B99" s="261"/>
      <c r="C99" s="2" t="s">
        <v>33</v>
      </c>
      <c r="D99" s="3">
        <v>100000</v>
      </c>
      <c r="E99" s="3">
        <v>100000</v>
      </c>
      <c r="F99" s="3">
        <v>-30000</v>
      </c>
      <c r="G99" s="3"/>
      <c r="H99" s="3"/>
      <c r="I99" s="3"/>
      <c r="J99" s="20">
        <f t="shared" si="28"/>
        <v>70000</v>
      </c>
      <c r="K99" s="108">
        <v>0</v>
      </c>
      <c r="L99" s="3">
        <f t="shared" si="29"/>
        <v>70000</v>
      </c>
    </row>
    <row r="100" spans="1:12" x14ac:dyDescent="0.3">
      <c r="A100" s="254"/>
      <c r="B100" s="261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08">
        <v>0</v>
      </c>
      <c r="L100" s="3">
        <f t="shared" si="29"/>
        <v>210000</v>
      </c>
    </row>
    <row r="101" spans="1:12" x14ac:dyDescent="0.3">
      <c r="A101" s="254"/>
      <c r="B101" s="261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08">
        <v>0</v>
      </c>
      <c r="L101" s="3">
        <f t="shared" si="29"/>
        <v>110000</v>
      </c>
    </row>
    <row r="102" spans="1:12" x14ac:dyDescent="0.3">
      <c r="A102" s="254"/>
      <c r="B102" s="261"/>
      <c r="C102" s="2" t="s">
        <v>36</v>
      </c>
      <c r="D102" s="3">
        <v>500000</v>
      </c>
      <c r="E102" s="3">
        <v>500000</v>
      </c>
      <c r="F102" s="3">
        <f>SUM('2019.08.31.'!F102)</f>
        <v>-900</v>
      </c>
      <c r="G102" s="3"/>
      <c r="H102" s="3"/>
      <c r="I102" s="3"/>
      <c r="J102" s="20">
        <f t="shared" si="28"/>
        <v>499100</v>
      </c>
      <c r="K102" s="108">
        <v>338922</v>
      </c>
      <c r="L102" s="3">
        <f t="shared" si="29"/>
        <v>160178</v>
      </c>
    </row>
    <row r="103" spans="1:12" x14ac:dyDescent="0.3">
      <c r="A103" s="254"/>
      <c r="B103" s="261"/>
      <c r="C103" s="2" t="s">
        <v>38</v>
      </c>
      <c r="D103" s="3">
        <v>140000</v>
      </c>
      <c r="E103" s="3">
        <v>140000</v>
      </c>
      <c r="F103" s="3">
        <f>SUM('2019.08.31.'!F103)</f>
        <v>-4620</v>
      </c>
      <c r="G103" s="3"/>
      <c r="H103" s="3"/>
      <c r="I103" s="3"/>
      <c r="J103" s="20">
        <f t="shared" si="28"/>
        <v>135380</v>
      </c>
      <c r="K103" s="108">
        <v>0</v>
      </c>
      <c r="L103" s="3">
        <f t="shared" si="29"/>
        <v>135380</v>
      </c>
    </row>
    <row r="104" spans="1:12" x14ac:dyDescent="0.3">
      <c r="A104" s="254"/>
      <c r="B104" s="261"/>
      <c r="C104" s="2" t="s">
        <v>40</v>
      </c>
      <c r="D104" s="3">
        <v>16800</v>
      </c>
      <c r="E104" s="3">
        <v>16800</v>
      </c>
      <c r="F104" s="3">
        <f>SUM('2019.08.31.'!F104)</f>
        <v>3400</v>
      </c>
      <c r="G104" s="3"/>
      <c r="H104" s="3"/>
      <c r="I104" s="3"/>
      <c r="J104" s="20">
        <f t="shared" si="28"/>
        <v>20200</v>
      </c>
      <c r="K104" s="108">
        <v>6800</v>
      </c>
      <c r="L104" s="3">
        <f t="shared" si="29"/>
        <v>13400</v>
      </c>
    </row>
    <row r="105" spans="1:12" x14ac:dyDescent="0.3">
      <c r="A105" s="254"/>
      <c r="B105" s="261"/>
      <c r="C105" s="2" t="s">
        <v>41</v>
      </c>
      <c r="D105" s="3">
        <v>80000</v>
      </c>
      <c r="E105" s="3">
        <v>80000</v>
      </c>
      <c r="F105" s="3">
        <f>(SUM('2019.07.31.'!F105,'2019.08.31.'!F105))+30000</f>
        <v>37280</v>
      </c>
      <c r="G105" s="3"/>
      <c r="H105" s="3"/>
      <c r="I105" s="3"/>
      <c r="J105" s="20">
        <f t="shared" si="28"/>
        <v>117280</v>
      </c>
      <c r="K105" s="108">
        <v>86060</v>
      </c>
      <c r="L105" s="3">
        <f t="shared" si="29"/>
        <v>31220</v>
      </c>
    </row>
    <row r="106" spans="1:12" x14ac:dyDescent="0.3">
      <c r="A106" s="254"/>
      <c r="B106" s="261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08">
        <v>113680</v>
      </c>
      <c r="L106" s="3">
        <f t="shared" si="29"/>
        <v>126320</v>
      </c>
    </row>
    <row r="107" spans="1:12" x14ac:dyDescent="0.3">
      <c r="A107" s="254"/>
      <c r="B107" s="261"/>
      <c r="C107" s="2" t="s">
        <v>44</v>
      </c>
      <c r="D107" s="3">
        <v>200600</v>
      </c>
      <c r="E107" s="3">
        <v>200600</v>
      </c>
      <c r="F107" s="3">
        <f>SUM('2019.07.31.'!F107)</f>
        <v>-5160</v>
      </c>
      <c r="G107" s="3"/>
      <c r="H107" s="3"/>
      <c r="I107" s="3"/>
      <c r="J107" s="20">
        <f t="shared" si="28"/>
        <v>195440</v>
      </c>
      <c r="K107" s="108">
        <v>27491</v>
      </c>
      <c r="L107" s="3">
        <f t="shared" si="29"/>
        <v>167949</v>
      </c>
    </row>
    <row r="108" spans="1:12" x14ac:dyDescent="0.3">
      <c r="A108" s="254"/>
      <c r="B108" s="261"/>
      <c r="C108" s="6" t="s">
        <v>49</v>
      </c>
      <c r="D108" s="7">
        <f>SUM(D98:D107)</f>
        <v>1697400</v>
      </c>
      <c r="E108" s="7">
        <f>SUM(E98:E107)</f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0">
        <f t="shared" si="30"/>
        <v>572953</v>
      </c>
      <c r="L108" s="7">
        <f t="shared" si="30"/>
        <v>1124447</v>
      </c>
    </row>
    <row r="109" spans="1:12" x14ac:dyDescent="0.3">
      <c r="A109" s="262" t="s">
        <v>62</v>
      </c>
      <c r="B109" s="264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08">
        <v>46400</v>
      </c>
      <c r="L109" s="3">
        <f t="shared" ref="L109:L112" si="32">J109-K109</f>
        <v>65200</v>
      </c>
    </row>
    <row r="110" spans="1:12" x14ac:dyDescent="0.3">
      <c r="A110" s="263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08">
        <v>8939</v>
      </c>
      <c r="L110" s="3">
        <f t="shared" si="32"/>
        <v>11800</v>
      </c>
    </row>
    <row r="111" spans="1:12" x14ac:dyDescent="0.3">
      <c r="A111" s="262" t="s">
        <v>63</v>
      </c>
      <c r="B111" s="264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08">
        <v>1000842</v>
      </c>
      <c r="L111" s="3">
        <f t="shared" si="32"/>
        <v>459430</v>
      </c>
    </row>
    <row r="112" spans="1:12" x14ac:dyDescent="0.3">
      <c r="A112" s="263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08">
        <v>192647</v>
      </c>
      <c r="L112" s="3">
        <f t="shared" si="32"/>
        <v>79521</v>
      </c>
    </row>
    <row r="113" spans="1:12" x14ac:dyDescent="0.3">
      <c r="A113" s="346" t="s">
        <v>77</v>
      </c>
      <c r="B113" s="347"/>
      <c r="C113" s="348"/>
      <c r="D113" s="122">
        <f>SUM(D96+D97+D108+D109+D110+D111+D112)</f>
        <v>9916318</v>
      </c>
      <c r="E113" s="122">
        <f>SUM(E96,E97,E108,E109:E112)</f>
        <v>9916318</v>
      </c>
      <c r="F113" s="122">
        <f t="shared" ref="F113:L113" si="33">SUM(F96+F97+F108+F109+F110+F111+F112)</f>
        <v>0</v>
      </c>
      <c r="G113" s="122">
        <f t="shared" si="33"/>
        <v>322168</v>
      </c>
      <c r="H113" s="122">
        <f t="shared" si="33"/>
        <v>0</v>
      </c>
      <c r="I113" s="122">
        <f t="shared" si="33"/>
        <v>0</v>
      </c>
      <c r="J113" s="122">
        <f t="shared" si="33"/>
        <v>10238486</v>
      </c>
      <c r="K113" s="124">
        <f t="shared" si="33"/>
        <v>5745224</v>
      </c>
      <c r="L113" s="122">
        <f t="shared" si="33"/>
        <v>4493262</v>
      </c>
    </row>
    <row r="114" spans="1:12" x14ac:dyDescent="0.3">
      <c r="A114" s="254" t="s">
        <v>13</v>
      </c>
      <c r="B114" s="261" t="s">
        <v>23</v>
      </c>
      <c r="C114" s="2" t="s">
        <v>24</v>
      </c>
      <c r="D114" s="3">
        <v>4871210</v>
      </c>
      <c r="E114" s="3">
        <v>4885228</v>
      </c>
      <c r="F114" s="3">
        <f>(SUM('2019.06.30.'!F114))-30000</f>
        <v>-58601</v>
      </c>
      <c r="G114" s="3">
        <v>173653</v>
      </c>
      <c r="H114" s="3"/>
      <c r="I114" s="3"/>
      <c r="J114" s="20">
        <f t="shared" ref="J114:J119" si="34">E114+F114+G114+H114+I114</f>
        <v>5000280</v>
      </c>
      <c r="K114" s="108">
        <v>3132900</v>
      </c>
      <c r="L114" s="3">
        <f t="shared" ref="L114:L119" si="35">J114-K114</f>
        <v>1867380</v>
      </c>
    </row>
    <row r="115" spans="1:12" x14ac:dyDescent="0.3">
      <c r="A115" s="254"/>
      <c r="B115" s="261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08">
        <v>100000</v>
      </c>
      <c r="L115" s="3">
        <f t="shared" si="35"/>
        <v>100000</v>
      </c>
    </row>
    <row r="116" spans="1:12" x14ac:dyDescent="0.3">
      <c r="A116" s="254"/>
      <c r="B116" s="261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08">
        <v>0</v>
      </c>
      <c r="L116" s="3">
        <f t="shared" si="35"/>
        <v>10000</v>
      </c>
    </row>
    <row r="117" spans="1:12" x14ac:dyDescent="0.3">
      <c r="A117" s="254"/>
      <c r="B117" s="261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08">
        <v>12000</v>
      </c>
      <c r="L117" s="3">
        <f t="shared" si="35"/>
        <v>12000</v>
      </c>
    </row>
    <row r="118" spans="1:12" x14ac:dyDescent="0.3">
      <c r="A118" s="254"/>
      <c r="B118" s="261"/>
      <c r="C118" s="2" t="s">
        <v>29</v>
      </c>
      <c r="D118" s="3">
        <v>75000</v>
      </c>
      <c r="E118" s="3">
        <v>75000</v>
      </c>
      <c r="F118" s="3">
        <f>(SUM('2019.06.30.'!F118))+30000</f>
        <v>58601</v>
      </c>
      <c r="G118" s="3"/>
      <c r="H118" s="3"/>
      <c r="I118" s="3"/>
      <c r="J118" s="20">
        <f t="shared" si="34"/>
        <v>133601</v>
      </c>
      <c r="K118" s="108">
        <v>28601</v>
      </c>
      <c r="L118" s="3">
        <f t="shared" si="35"/>
        <v>105000</v>
      </c>
    </row>
    <row r="119" spans="1:12" x14ac:dyDescent="0.3">
      <c r="A119" s="254"/>
      <c r="B119" s="261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08">
        <v>0</v>
      </c>
      <c r="L119" s="3">
        <f t="shared" si="35"/>
        <v>0</v>
      </c>
    </row>
    <row r="120" spans="1:12" x14ac:dyDescent="0.3">
      <c r="A120" s="254"/>
      <c r="B120" s="261"/>
      <c r="C120" s="6" t="s">
        <v>53</v>
      </c>
      <c r="D120" s="7">
        <f>SUM(D114:D119)</f>
        <v>5180210</v>
      </c>
      <c r="E120" s="7">
        <f>SUM(E114:E119)</f>
        <v>5194228</v>
      </c>
      <c r="F120" s="7">
        <f t="shared" ref="F120:L120" si="36">SUM(F114:F119)</f>
        <v>0</v>
      </c>
      <c r="G120" s="7">
        <f t="shared" si="36"/>
        <v>173653</v>
      </c>
      <c r="H120" s="7">
        <f t="shared" si="36"/>
        <v>0</v>
      </c>
      <c r="I120" s="7">
        <f t="shared" si="36"/>
        <v>0</v>
      </c>
      <c r="J120" s="7">
        <f t="shared" si="36"/>
        <v>5367881</v>
      </c>
      <c r="K120" s="110">
        <f t="shared" si="36"/>
        <v>3273501</v>
      </c>
      <c r="L120" s="7">
        <f t="shared" si="36"/>
        <v>2094380</v>
      </c>
    </row>
    <row r="121" spans="1:12" x14ac:dyDescent="0.3">
      <c r="A121" s="254"/>
      <c r="B121" s="261"/>
      <c r="C121" s="82" t="s">
        <v>31</v>
      </c>
      <c r="D121" s="83">
        <v>1046402</v>
      </c>
      <c r="E121" s="83">
        <v>1049135</v>
      </c>
      <c r="F121" s="83"/>
      <c r="G121" s="83">
        <v>33862</v>
      </c>
      <c r="H121" s="83"/>
      <c r="I121" s="83"/>
      <c r="J121" s="84">
        <f t="shared" ref="J121:J129" si="37">E121+F121+G121+H121+I121</f>
        <v>1082997</v>
      </c>
      <c r="K121" s="111">
        <v>685261</v>
      </c>
      <c r="L121" s="85">
        <f t="shared" ref="L121:L129" si="38">J121-K121</f>
        <v>397736</v>
      </c>
    </row>
    <row r="122" spans="1:12" x14ac:dyDescent="0.3">
      <c r="A122" s="254"/>
      <c r="B122" s="261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08">
        <v>0</v>
      </c>
      <c r="L122" s="3">
        <f t="shared" si="38"/>
        <v>50000</v>
      </c>
    </row>
    <row r="123" spans="1:12" x14ac:dyDescent="0.3">
      <c r="A123" s="254"/>
      <c r="B123" s="261"/>
      <c r="C123" s="2" t="s">
        <v>33</v>
      </c>
      <c r="D123" s="3">
        <v>100000</v>
      </c>
      <c r="E123" s="3">
        <v>100000</v>
      </c>
      <c r="F123" s="3">
        <v>-30000</v>
      </c>
      <c r="G123" s="3"/>
      <c r="H123" s="3"/>
      <c r="I123" s="3"/>
      <c r="J123" s="20">
        <f t="shared" si="37"/>
        <v>70000</v>
      </c>
      <c r="K123" s="108">
        <v>0</v>
      </c>
      <c r="L123" s="3">
        <f t="shared" si="38"/>
        <v>70000</v>
      </c>
    </row>
    <row r="124" spans="1:12" x14ac:dyDescent="0.3">
      <c r="A124" s="254"/>
      <c r="B124" s="261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08">
        <v>0</v>
      </c>
      <c r="L124" s="3">
        <f t="shared" si="38"/>
        <v>116000</v>
      </c>
    </row>
    <row r="125" spans="1:12" x14ac:dyDescent="0.3">
      <c r="A125" s="254"/>
      <c r="B125" s="261"/>
      <c r="C125" s="2" t="s">
        <v>38</v>
      </c>
      <c r="D125" s="3">
        <v>50000</v>
      </c>
      <c r="E125" s="3">
        <v>50000</v>
      </c>
      <c r="F125" s="3">
        <f>SUM('2019.08.31.'!F125)</f>
        <v>-3400</v>
      </c>
      <c r="G125" s="3"/>
      <c r="H125" s="3"/>
      <c r="I125" s="3"/>
      <c r="J125" s="20">
        <f t="shared" si="37"/>
        <v>46600</v>
      </c>
      <c r="K125" s="108">
        <v>0</v>
      </c>
      <c r="L125" s="3">
        <f t="shared" si="38"/>
        <v>46600</v>
      </c>
    </row>
    <row r="126" spans="1:12" x14ac:dyDescent="0.3">
      <c r="A126" s="254"/>
      <c r="B126" s="261"/>
      <c r="C126" s="2" t="s">
        <v>40</v>
      </c>
      <c r="D126" s="3">
        <v>16800</v>
      </c>
      <c r="E126" s="3">
        <v>16800</v>
      </c>
      <c r="F126" s="3">
        <f>SUM('2019.08.31.'!F126)</f>
        <v>3400</v>
      </c>
      <c r="G126" s="3"/>
      <c r="H126" s="3"/>
      <c r="I126" s="3"/>
      <c r="J126" s="20">
        <f t="shared" si="37"/>
        <v>20200</v>
      </c>
      <c r="K126" s="108">
        <v>6800</v>
      </c>
      <c r="L126" s="3">
        <f t="shared" si="38"/>
        <v>13400</v>
      </c>
    </row>
    <row r="127" spans="1:12" x14ac:dyDescent="0.3">
      <c r="A127" s="254"/>
      <c r="B127" s="261"/>
      <c r="C127" s="2" t="s">
        <v>41</v>
      </c>
      <c r="D127" s="3">
        <v>0</v>
      </c>
      <c r="E127" s="3">
        <v>34000</v>
      </c>
      <c r="F127" s="3">
        <f>(SUM('2019.06.30.'!F127))+30000</f>
        <v>36280</v>
      </c>
      <c r="G127" s="3"/>
      <c r="H127" s="3"/>
      <c r="I127" s="3"/>
      <c r="J127" s="20">
        <f t="shared" si="37"/>
        <v>70280</v>
      </c>
      <c r="K127" s="108">
        <v>39060</v>
      </c>
      <c r="L127" s="3">
        <f t="shared" si="38"/>
        <v>31220</v>
      </c>
    </row>
    <row r="128" spans="1:12" x14ac:dyDescent="0.3">
      <c r="A128" s="254"/>
      <c r="B128" s="261"/>
      <c r="C128" s="2" t="s">
        <v>42</v>
      </c>
      <c r="D128" s="3">
        <v>240000</v>
      </c>
      <c r="E128" s="3">
        <v>240000</v>
      </c>
      <c r="F128" s="3">
        <f>SUM('2019.06.30.'!F128)</f>
        <v>-6280</v>
      </c>
      <c r="G128" s="3"/>
      <c r="H128" s="3"/>
      <c r="I128" s="3"/>
      <c r="J128" s="20">
        <f t="shared" si="37"/>
        <v>233720</v>
      </c>
      <c r="K128" s="108">
        <v>98375</v>
      </c>
      <c r="L128" s="3">
        <f t="shared" si="38"/>
        <v>135345</v>
      </c>
    </row>
    <row r="129" spans="1:12" x14ac:dyDescent="0.3">
      <c r="A129" s="254"/>
      <c r="B129" s="261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08">
        <v>10545</v>
      </c>
      <c r="L129" s="3">
        <f t="shared" si="38"/>
        <v>83955</v>
      </c>
    </row>
    <row r="130" spans="1:12" x14ac:dyDescent="0.3">
      <c r="A130" s="254"/>
      <c r="B130" s="261"/>
      <c r="C130" s="6" t="s">
        <v>49</v>
      </c>
      <c r="D130" s="7">
        <f>SUM(D122:D129)</f>
        <v>701300</v>
      </c>
      <c r="E130" s="7">
        <f>SUM(E122:E129)</f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0">
        <f t="shared" si="39"/>
        <v>154780</v>
      </c>
      <c r="L130" s="7">
        <f t="shared" si="39"/>
        <v>546520</v>
      </c>
    </row>
    <row r="131" spans="1:12" x14ac:dyDescent="0.3">
      <c r="A131" s="262" t="s">
        <v>64</v>
      </c>
      <c r="B131" s="264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08">
        <v>26400</v>
      </c>
      <c r="L131" s="3">
        <f t="shared" ref="L131:L134" si="41">J131-K131</f>
        <v>13200</v>
      </c>
    </row>
    <row r="132" spans="1:12" x14ac:dyDescent="0.3">
      <c r="A132" s="263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08">
        <v>5083</v>
      </c>
      <c r="L132" s="3">
        <f t="shared" si="41"/>
        <v>2276</v>
      </c>
    </row>
    <row r="133" spans="1:12" x14ac:dyDescent="0.3">
      <c r="A133" s="262" t="s">
        <v>65</v>
      </c>
      <c r="B133" s="264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08">
        <v>905488</v>
      </c>
      <c r="L133" s="3">
        <f t="shared" si="41"/>
        <v>451670</v>
      </c>
    </row>
    <row r="134" spans="1:12" x14ac:dyDescent="0.3">
      <c r="A134" s="263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08">
        <v>174303</v>
      </c>
      <c r="L134" s="3">
        <f t="shared" si="41"/>
        <v>79024</v>
      </c>
    </row>
    <row r="135" spans="1:12" x14ac:dyDescent="0.3">
      <c r="A135" s="346" t="s">
        <v>78</v>
      </c>
      <c r="B135" s="347"/>
      <c r="C135" s="348"/>
      <c r="D135" s="122">
        <f>SUM(D120+D121+D130+D131+D132+D133+D134)</f>
        <v>8585356</v>
      </c>
      <c r="E135" s="122">
        <f>SUM(E120,E121,E130,E131:E134)</f>
        <v>8602107</v>
      </c>
      <c r="F135" s="122">
        <f t="shared" ref="F135:L135" si="42">SUM(F120+F121+F130+F131+F132+F133+F134)</f>
        <v>0</v>
      </c>
      <c r="G135" s="122">
        <f t="shared" si="42"/>
        <v>207515</v>
      </c>
      <c r="H135" s="122">
        <f t="shared" si="42"/>
        <v>0</v>
      </c>
      <c r="I135" s="122">
        <f t="shared" si="42"/>
        <v>0</v>
      </c>
      <c r="J135" s="122">
        <f t="shared" si="42"/>
        <v>8809622</v>
      </c>
      <c r="K135" s="124">
        <f t="shared" si="42"/>
        <v>5224816</v>
      </c>
      <c r="L135" s="122">
        <f t="shared" si="42"/>
        <v>3584806</v>
      </c>
    </row>
    <row r="136" spans="1:12" x14ac:dyDescent="0.3">
      <c r="A136" s="254" t="s">
        <v>14</v>
      </c>
      <c r="B136" s="261" t="s">
        <v>23</v>
      </c>
      <c r="C136" s="2" t="s">
        <v>24</v>
      </c>
      <c r="D136" s="3">
        <v>4756797</v>
      </c>
      <c r="E136" s="3">
        <v>4688588</v>
      </c>
      <c r="F136" s="3">
        <f>(SUM('2019.06.30.'!F136))-30000</f>
        <v>-50518</v>
      </c>
      <c r="G136" s="3">
        <v>319009</v>
      </c>
      <c r="H136" s="3"/>
      <c r="I136" s="3"/>
      <c r="J136" s="20">
        <f t="shared" ref="J136:J142" si="43">E136+F136+G136+H136+I136</f>
        <v>4957079</v>
      </c>
      <c r="K136" s="108">
        <v>2971577</v>
      </c>
      <c r="L136" s="3">
        <f t="shared" ref="L136:L142" si="44">J136-K136</f>
        <v>1985502</v>
      </c>
    </row>
    <row r="137" spans="1:12" x14ac:dyDescent="0.3">
      <c r="A137" s="254"/>
      <c r="B137" s="261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08">
        <v>100000</v>
      </c>
      <c r="L137" s="3">
        <f t="shared" si="44"/>
        <v>100000</v>
      </c>
    </row>
    <row r="138" spans="1:12" x14ac:dyDescent="0.3">
      <c r="A138" s="254"/>
      <c r="B138" s="261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08">
        <v>0</v>
      </c>
      <c r="L138" s="3">
        <f t="shared" si="44"/>
        <v>10000</v>
      </c>
    </row>
    <row r="139" spans="1:12" x14ac:dyDescent="0.3">
      <c r="A139" s="254"/>
      <c r="B139" s="261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08">
        <v>128878</v>
      </c>
      <c r="L139" s="3">
        <f t="shared" si="44"/>
        <v>126122</v>
      </c>
    </row>
    <row r="140" spans="1:12" x14ac:dyDescent="0.3">
      <c r="A140" s="254"/>
      <c r="B140" s="261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08">
        <v>12000</v>
      </c>
      <c r="L140" s="3">
        <f t="shared" si="44"/>
        <v>12000</v>
      </c>
    </row>
    <row r="141" spans="1:12" x14ac:dyDescent="0.3">
      <c r="A141" s="254"/>
      <c r="B141" s="261"/>
      <c r="C141" s="2" t="s">
        <v>29</v>
      </c>
      <c r="D141" s="3">
        <v>0</v>
      </c>
      <c r="E141" s="3">
        <v>77789</v>
      </c>
      <c r="F141" s="3">
        <f>(SUM('2019.06.30.'!F141))+30000</f>
        <v>50518</v>
      </c>
      <c r="G141" s="3"/>
      <c r="H141" s="3"/>
      <c r="I141" s="3"/>
      <c r="J141" s="20">
        <f t="shared" si="43"/>
        <v>128307</v>
      </c>
      <c r="K141" s="108">
        <v>98307</v>
      </c>
      <c r="L141" s="3">
        <f t="shared" si="44"/>
        <v>30000</v>
      </c>
    </row>
    <row r="142" spans="1:12" x14ac:dyDescent="0.3">
      <c r="A142" s="254"/>
      <c r="B142" s="261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08">
        <v>0</v>
      </c>
      <c r="L142" s="3">
        <f t="shared" si="44"/>
        <v>0</v>
      </c>
    </row>
    <row r="143" spans="1:12" x14ac:dyDescent="0.3">
      <c r="A143" s="254"/>
      <c r="B143" s="261"/>
      <c r="C143" s="6" t="s">
        <v>53</v>
      </c>
      <c r="D143" s="7">
        <f>SUM(D136:D142)</f>
        <v>5245797</v>
      </c>
      <c r="E143" s="7">
        <f>SUM(E136:E142)</f>
        <v>5255377</v>
      </c>
      <c r="F143" s="7">
        <f t="shared" ref="F143:L143" si="45">SUM(F136:F142)</f>
        <v>0</v>
      </c>
      <c r="G143" s="7">
        <f t="shared" si="45"/>
        <v>319009</v>
      </c>
      <c r="H143" s="7">
        <f t="shared" si="45"/>
        <v>0</v>
      </c>
      <c r="I143" s="7">
        <f t="shared" si="45"/>
        <v>0</v>
      </c>
      <c r="J143" s="7">
        <f t="shared" si="45"/>
        <v>5574386</v>
      </c>
      <c r="K143" s="110">
        <f t="shared" si="45"/>
        <v>3310762</v>
      </c>
      <c r="L143" s="7">
        <f t="shared" si="45"/>
        <v>2263624</v>
      </c>
    </row>
    <row r="144" spans="1:12" x14ac:dyDescent="0.3">
      <c r="A144" s="254"/>
      <c r="B144" s="261"/>
      <c r="C144" s="82" t="s">
        <v>31</v>
      </c>
      <c r="D144" s="83">
        <v>1025121</v>
      </c>
      <c r="E144" s="83">
        <v>1026989</v>
      </c>
      <c r="F144" s="83"/>
      <c r="G144" s="83">
        <v>62207</v>
      </c>
      <c r="H144" s="83"/>
      <c r="I144" s="83"/>
      <c r="J144" s="84">
        <f t="shared" ref="J144:J152" si="46">E144+F144+G144+H144+I144</f>
        <v>1089196</v>
      </c>
      <c r="K144" s="111">
        <v>667534</v>
      </c>
      <c r="L144" s="85">
        <f t="shared" ref="L144:L152" si="47">J144-K144</f>
        <v>421662</v>
      </c>
    </row>
    <row r="145" spans="1:12" x14ac:dyDescent="0.3">
      <c r="A145" s="254"/>
      <c r="B145" s="261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08">
        <v>0</v>
      </c>
      <c r="L145" s="3">
        <f t="shared" si="47"/>
        <v>80000</v>
      </c>
    </row>
    <row r="146" spans="1:12" x14ac:dyDescent="0.3">
      <c r="A146" s="254"/>
      <c r="B146" s="261"/>
      <c r="C146" s="2" t="s">
        <v>33</v>
      </c>
      <c r="D146" s="3">
        <v>110000</v>
      </c>
      <c r="E146" s="3">
        <v>110000</v>
      </c>
      <c r="F146" s="3">
        <f>(SUM('2019.08.31.'!F146))-40000</f>
        <v>-60000</v>
      </c>
      <c r="G146" s="3"/>
      <c r="H146" s="3"/>
      <c r="I146" s="3"/>
      <c r="J146" s="20">
        <f t="shared" si="46"/>
        <v>50000</v>
      </c>
      <c r="K146" s="108">
        <v>0</v>
      </c>
      <c r="L146" s="3">
        <f t="shared" si="47"/>
        <v>50000</v>
      </c>
    </row>
    <row r="147" spans="1:12" x14ac:dyDescent="0.3">
      <c r="A147" s="254"/>
      <c r="B147" s="261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08">
        <v>0</v>
      </c>
      <c r="L147" s="3">
        <f t="shared" si="47"/>
        <v>136000</v>
      </c>
    </row>
    <row r="148" spans="1:12" x14ac:dyDescent="0.3">
      <c r="A148" s="254"/>
      <c r="B148" s="261"/>
      <c r="C148" s="2" t="s">
        <v>38</v>
      </c>
      <c r="D148" s="3">
        <v>144000</v>
      </c>
      <c r="E148" s="3">
        <v>144000</v>
      </c>
      <c r="F148" s="3">
        <f>SUM('2019.08.31.'!F148)</f>
        <v>-3400</v>
      </c>
      <c r="G148" s="3"/>
      <c r="H148" s="3"/>
      <c r="I148" s="3"/>
      <c r="J148" s="20">
        <f t="shared" si="46"/>
        <v>140600</v>
      </c>
      <c r="K148" s="108">
        <v>0</v>
      </c>
      <c r="L148" s="3">
        <f t="shared" si="47"/>
        <v>140600</v>
      </c>
    </row>
    <row r="149" spans="1:12" x14ac:dyDescent="0.3">
      <c r="A149" s="254"/>
      <c r="B149" s="261"/>
      <c r="C149" s="2" t="s">
        <v>40</v>
      </c>
      <c r="D149" s="3">
        <v>16800</v>
      </c>
      <c r="E149" s="3">
        <v>16800</v>
      </c>
      <c r="F149" s="3">
        <f>SUM('2019.08.31.'!F149)</f>
        <v>3400</v>
      </c>
      <c r="G149" s="3"/>
      <c r="H149" s="3"/>
      <c r="I149" s="3"/>
      <c r="J149" s="20">
        <f t="shared" si="46"/>
        <v>20200</v>
      </c>
      <c r="K149" s="108">
        <v>6800</v>
      </c>
      <c r="L149" s="3">
        <f t="shared" si="47"/>
        <v>13400</v>
      </c>
    </row>
    <row r="150" spans="1:12" x14ac:dyDescent="0.3">
      <c r="A150" s="254"/>
      <c r="B150" s="261"/>
      <c r="C150" s="2" t="s">
        <v>41</v>
      </c>
      <c r="D150" s="3">
        <v>40000</v>
      </c>
      <c r="E150" s="3">
        <v>54000</v>
      </c>
      <c r="F150" s="3">
        <f>(SUM('2019.06.30.'!F150,'2019.08.31.'!F150))+40000</f>
        <v>66280</v>
      </c>
      <c r="G150" s="3"/>
      <c r="H150" s="3"/>
      <c r="I150" s="3"/>
      <c r="J150" s="20">
        <f t="shared" si="46"/>
        <v>120280</v>
      </c>
      <c r="K150" s="108">
        <v>79060</v>
      </c>
      <c r="L150" s="3">
        <f t="shared" si="47"/>
        <v>41220</v>
      </c>
    </row>
    <row r="151" spans="1:12" x14ac:dyDescent="0.3">
      <c r="A151" s="254"/>
      <c r="B151" s="261"/>
      <c r="C151" s="2" t="s">
        <v>42</v>
      </c>
      <c r="D151" s="3">
        <v>150000</v>
      </c>
      <c r="E151" s="3">
        <v>150000</v>
      </c>
      <c r="F151" s="3">
        <f>SUM('2019.06.30.'!F151)</f>
        <v>-6280</v>
      </c>
      <c r="G151" s="3"/>
      <c r="H151" s="3"/>
      <c r="I151" s="3"/>
      <c r="J151" s="20">
        <f t="shared" si="46"/>
        <v>143720</v>
      </c>
      <c r="K151" s="108">
        <v>69520</v>
      </c>
      <c r="L151" s="3">
        <f t="shared" si="47"/>
        <v>74200</v>
      </c>
    </row>
    <row r="152" spans="1:12" x14ac:dyDescent="0.3">
      <c r="A152" s="254"/>
      <c r="B152" s="261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08">
        <v>10547</v>
      </c>
      <c r="L152" s="3">
        <f t="shared" si="47"/>
        <v>130933</v>
      </c>
    </row>
    <row r="153" spans="1:12" x14ac:dyDescent="0.3">
      <c r="A153" s="254"/>
      <c r="B153" s="261"/>
      <c r="C153" s="6" t="s">
        <v>49</v>
      </c>
      <c r="D153" s="7">
        <f>SUM(D145:D152)</f>
        <v>832280</v>
      </c>
      <c r="E153" s="7">
        <f>SUM(E145:E152)</f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0">
        <f t="shared" si="48"/>
        <v>165927</v>
      </c>
      <c r="L153" s="7">
        <f t="shared" si="48"/>
        <v>666353</v>
      </c>
    </row>
    <row r="154" spans="1:12" x14ac:dyDescent="0.3">
      <c r="A154" s="262" t="s">
        <v>66</v>
      </c>
      <c r="B154" s="264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08">
        <v>543973</v>
      </c>
      <c r="L154" s="3">
        <f t="shared" ref="L154:L155" si="50">J154-K154</f>
        <v>288655</v>
      </c>
    </row>
    <row r="155" spans="1:12" x14ac:dyDescent="0.3">
      <c r="A155" s="263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08">
        <v>104684</v>
      </c>
      <c r="L155" s="3">
        <f t="shared" si="50"/>
        <v>50726</v>
      </c>
    </row>
    <row r="156" spans="1:12" x14ac:dyDescent="0.3">
      <c r="A156" s="346" t="s">
        <v>79</v>
      </c>
      <c r="B156" s="347"/>
      <c r="C156" s="348"/>
      <c r="D156" s="122">
        <f>SUM(D143+D144+D153+D154+D155)</f>
        <v>8091236</v>
      </c>
      <c r="E156" s="122">
        <f>SUM(E143,E144,E153,E154:E155)</f>
        <v>8102684</v>
      </c>
      <c r="F156" s="122">
        <f t="shared" ref="F156:L156" si="51">SUM(F143+F144+F153+F154+F155)</f>
        <v>0</v>
      </c>
      <c r="G156" s="122">
        <f t="shared" si="51"/>
        <v>381216</v>
      </c>
      <c r="H156" s="122">
        <f t="shared" si="51"/>
        <v>0</v>
      </c>
      <c r="I156" s="122">
        <f t="shared" si="51"/>
        <v>0</v>
      </c>
      <c r="J156" s="122">
        <f t="shared" si="51"/>
        <v>8483900</v>
      </c>
      <c r="K156" s="124">
        <f t="shared" si="51"/>
        <v>4792880</v>
      </c>
      <c r="L156" s="122">
        <f t="shared" si="51"/>
        <v>3691020</v>
      </c>
    </row>
    <row r="157" spans="1:12" x14ac:dyDescent="0.3">
      <c r="A157" s="254" t="s">
        <v>55</v>
      </c>
      <c r="B157" s="261" t="s">
        <v>23</v>
      </c>
      <c r="C157" s="10" t="s">
        <v>24</v>
      </c>
      <c r="D157" s="24">
        <v>5055869</v>
      </c>
      <c r="E157" s="24">
        <v>5055869</v>
      </c>
      <c r="F157" s="162">
        <v>-50000</v>
      </c>
      <c r="G157" s="162">
        <v>269597</v>
      </c>
      <c r="H157" s="11"/>
      <c r="I157" s="11"/>
      <c r="J157" s="20">
        <f t="shared" ref="J157:J162" si="52">E157+F157+G157+H157+I157</f>
        <v>5275466</v>
      </c>
      <c r="K157" s="108">
        <v>3250996</v>
      </c>
      <c r="L157" s="3">
        <f t="shared" ref="L157:L162" si="53">J157-K157</f>
        <v>2024470</v>
      </c>
    </row>
    <row r="158" spans="1:12" x14ac:dyDescent="0.3">
      <c r="A158" s="254"/>
      <c r="B158" s="261"/>
      <c r="C158" s="10" t="s">
        <v>25</v>
      </c>
      <c r="D158" s="24">
        <v>425000</v>
      </c>
      <c r="E158" s="24">
        <v>425000</v>
      </c>
      <c r="F158" s="162"/>
      <c r="G158" s="11"/>
      <c r="H158" s="11"/>
      <c r="I158" s="11"/>
      <c r="J158" s="20">
        <f t="shared" si="52"/>
        <v>425000</v>
      </c>
      <c r="K158" s="108">
        <v>212500</v>
      </c>
      <c r="L158" s="3">
        <f t="shared" si="53"/>
        <v>212500</v>
      </c>
    </row>
    <row r="159" spans="1:12" x14ac:dyDescent="0.3">
      <c r="A159" s="254"/>
      <c r="B159" s="261"/>
      <c r="C159" s="10" t="s">
        <v>26</v>
      </c>
      <c r="D159" s="24">
        <v>10000</v>
      </c>
      <c r="E159" s="24">
        <v>10000</v>
      </c>
      <c r="F159" s="162"/>
      <c r="G159" s="11"/>
      <c r="H159" s="11"/>
      <c r="I159" s="11"/>
      <c r="J159" s="20">
        <f t="shared" si="52"/>
        <v>10000</v>
      </c>
      <c r="K159" s="108">
        <v>0</v>
      </c>
      <c r="L159" s="3">
        <f t="shared" si="53"/>
        <v>10000</v>
      </c>
    </row>
    <row r="160" spans="1:12" x14ac:dyDescent="0.3">
      <c r="A160" s="254"/>
      <c r="B160" s="261"/>
      <c r="C160" s="10" t="s">
        <v>28</v>
      </c>
      <c r="D160" s="24">
        <v>24000</v>
      </c>
      <c r="E160" s="24">
        <v>24000</v>
      </c>
      <c r="F160" s="162"/>
      <c r="G160" s="11"/>
      <c r="H160" s="11"/>
      <c r="I160" s="11"/>
      <c r="J160" s="20">
        <f t="shared" si="52"/>
        <v>24000</v>
      </c>
      <c r="K160" s="108">
        <v>12000</v>
      </c>
      <c r="L160" s="3">
        <f t="shared" si="53"/>
        <v>12000</v>
      </c>
    </row>
    <row r="161" spans="1:12" x14ac:dyDescent="0.3">
      <c r="A161" s="254"/>
      <c r="B161" s="261"/>
      <c r="C161" s="10" t="s">
        <v>29</v>
      </c>
      <c r="D161" s="24">
        <v>75000</v>
      </c>
      <c r="E161" s="24">
        <v>75000</v>
      </c>
      <c r="F161" s="162">
        <v>50000</v>
      </c>
      <c r="G161" s="11"/>
      <c r="H161" s="11"/>
      <c r="I161" s="11"/>
      <c r="J161" s="20">
        <f t="shared" si="52"/>
        <v>125000</v>
      </c>
      <c r="K161" s="108">
        <v>0</v>
      </c>
      <c r="L161" s="3">
        <f t="shared" si="53"/>
        <v>125000</v>
      </c>
    </row>
    <row r="162" spans="1:12" x14ac:dyDescent="0.3">
      <c r="A162" s="254"/>
      <c r="B162" s="261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08">
        <v>0</v>
      </c>
      <c r="L162" s="3">
        <f t="shared" si="53"/>
        <v>0</v>
      </c>
    </row>
    <row r="163" spans="1:12" x14ac:dyDescent="0.3">
      <c r="A163" s="254"/>
      <c r="B163" s="261"/>
      <c r="C163" s="6" t="s">
        <v>53</v>
      </c>
      <c r="D163" s="7">
        <f>SUM(D157:D162)</f>
        <v>5589869</v>
      </c>
      <c r="E163" s="7">
        <f>SUM(E157:E162)</f>
        <v>5589869</v>
      </c>
      <c r="F163" s="7">
        <f t="shared" ref="F163:L163" si="54">SUM(F157:F162)</f>
        <v>0</v>
      </c>
      <c r="G163" s="7">
        <f t="shared" si="54"/>
        <v>269597</v>
      </c>
      <c r="H163" s="7">
        <f t="shared" si="54"/>
        <v>0</v>
      </c>
      <c r="I163" s="7">
        <f t="shared" si="54"/>
        <v>0</v>
      </c>
      <c r="J163" s="7">
        <f t="shared" si="54"/>
        <v>5859466</v>
      </c>
      <c r="K163" s="110">
        <f t="shared" si="54"/>
        <v>3475496</v>
      </c>
      <c r="L163" s="7">
        <f t="shared" si="54"/>
        <v>2383970</v>
      </c>
    </row>
    <row r="164" spans="1:12" x14ac:dyDescent="0.3">
      <c r="A164" s="254"/>
      <c r="B164" s="261"/>
      <c r="C164" s="82" t="s">
        <v>31</v>
      </c>
      <c r="D164" s="83">
        <v>1124913</v>
      </c>
      <c r="E164" s="83">
        <v>1124913</v>
      </c>
      <c r="F164" s="83"/>
      <c r="G164" s="83">
        <v>52571</v>
      </c>
      <c r="H164" s="83"/>
      <c r="I164" s="83"/>
      <c r="J164" s="84">
        <f t="shared" ref="J164:J173" si="55">E164+F164+G164+H164+I164</f>
        <v>1177484</v>
      </c>
      <c r="K164" s="111">
        <v>724385</v>
      </c>
      <c r="L164" s="85">
        <f t="shared" ref="L164:L173" si="56">J164-K164</f>
        <v>453099</v>
      </c>
    </row>
    <row r="165" spans="1:12" x14ac:dyDescent="0.3">
      <c r="A165" s="254"/>
      <c r="B165" s="261"/>
      <c r="C165" s="10" t="s">
        <v>32</v>
      </c>
      <c r="D165" s="24">
        <v>100000</v>
      </c>
      <c r="E165" s="24">
        <v>100000</v>
      </c>
      <c r="F165" s="162">
        <v>-50000</v>
      </c>
      <c r="G165" s="11"/>
      <c r="H165" s="11"/>
      <c r="I165" s="11"/>
      <c r="J165" s="20">
        <f t="shared" si="55"/>
        <v>50000</v>
      </c>
      <c r="K165" s="108">
        <v>0</v>
      </c>
      <c r="L165" s="3">
        <f t="shared" si="56"/>
        <v>50000</v>
      </c>
    </row>
    <row r="166" spans="1:12" x14ac:dyDescent="0.3">
      <c r="A166" s="254"/>
      <c r="B166" s="261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08">
        <v>4536</v>
      </c>
      <c r="L166" s="3">
        <f t="shared" si="56"/>
        <v>95464</v>
      </c>
    </row>
    <row r="167" spans="1:12" x14ac:dyDescent="0.3">
      <c r="A167" s="254"/>
      <c r="B167" s="261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08">
        <v>0</v>
      </c>
      <c r="L167" s="3">
        <f t="shared" si="56"/>
        <v>100000</v>
      </c>
    </row>
    <row r="168" spans="1:12" x14ac:dyDescent="0.3">
      <c r="A168" s="254"/>
      <c r="B168" s="261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08">
        <v>0</v>
      </c>
      <c r="L168" s="3">
        <f t="shared" si="56"/>
        <v>50000</v>
      </c>
    </row>
    <row r="169" spans="1:12" x14ac:dyDescent="0.3">
      <c r="A169" s="254"/>
      <c r="B169" s="261"/>
      <c r="C169" s="10" t="s">
        <v>38</v>
      </c>
      <c r="D169" s="24">
        <v>140000</v>
      </c>
      <c r="E169" s="24">
        <v>140000</v>
      </c>
      <c r="F169" s="135">
        <f>SUM('2019.08.31.'!F169)</f>
        <v>-3400</v>
      </c>
      <c r="G169" s="11"/>
      <c r="H169" s="11"/>
      <c r="I169" s="11"/>
      <c r="J169" s="20">
        <f t="shared" si="55"/>
        <v>136600</v>
      </c>
      <c r="K169" s="108">
        <v>30190</v>
      </c>
      <c r="L169" s="3">
        <f t="shared" si="56"/>
        <v>106410</v>
      </c>
    </row>
    <row r="170" spans="1:12" x14ac:dyDescent="0.3">
      <c r="A170" s="254"/>
      <c r="B170" s="261"/>
      <c r="C170" s="10" t="s">
        <v>40</v>
      </c>
      <c r="D170" s="24">
        <v>15000</v>
      </c>
      <c r="E170" s="24">
        <v>15000</v>
      </c>
      <c r="F170" s="135">
        <f>SUM('2019.08.31.'!F170)</f>
        <v>3400</v>
      </c>
      <c r="G170" s="11"/>
      <c r="H170" s="11"/>
      <c r="I170" s="11"/>
      <c r="J170" s="20">
        <f t="shared" si="55"/>
        <v>18400</v>
      </c>
      <c r="K170" s="108">
        <v>6350</v>
      </c>
      <c r="L170" s="3">
        <f t="shared" si="56"/>
        <v>12050</v>
      </c>
    </row>
    <row r="171" spans="1:12" x14ac:dyDescent="0.3">
      <c r="A171" s="254"/>
      <c r="B171" s="261"/>
      <c r="C171" s="10" t="s">
        <v>41</v>
      </c>
      <c r="D171" s="24">
        <v>80000</v>
      </c>
      <c r="E171" s="24">
        <v>80000</v>
      </c>
      <c r="F171" s="135">
        <f>(SUM('2019.07.31.'!F171))+50000</f>
        <v>64188</v>
      </c>
      <c r="G171" s="11"/>
      <c r="H171" s="11"/>
      <c r="I171" s="11"/>
      <c r="J171" s="20">
        <f t="shared" si="55"/>
        <v>144188</v>
      </c>
      <c r="K171" s="108">
        <v>92968</v>
      </c>
      <c r="L171" s="3">
        <f t="shared" si="56"/>
        <v>51220</v>
      </c>
    </row>
    <row r="172" spans="1:12" x14ac:dyDescent="0.3">
      <c r="A172" s="254"/>
      <c r="B172" s="261"/>
      <c r="C172" s="10" t="s">
        <v>42</v>
      </c>
      <c r="D172" s="24">
        <v>240000</v>
      </c>
      <c r="E172" s="24">
        <v>240000</v>
      </c>
      <c r="F172" s="135"/>
      <c r="G172" s="11"/>
      <c r="H172" s="11"/>
      <c r="I172" s="11"/>
      <c r="J172" s="20">
        <f t="shared" si="55"/>
        <v>240000</v>
      </c>
      <c r="K172" s="108">
        <v>190640</v>
      </c>
      <c r="L172" s="3">
        <f t="shared" si="56"/>
        <v>49360</v>
      </c>
    </row>
    <row r="173" spans="1:12" x14ac:dyDescent="0.3">
      <c r="A173" s="254"/>
      <c r="B173" s="261"/>
      <c r="C173" s="10" t="s">
        <v>44</v>
      </c>
      <c r="D173" s="24">
        <v>142900</v>
      </c>
      <c r="E173" s="24">
        <v>142900</v>
      </c>
      <c r="F173" s="135">
        <f>SUM('2019.07.31.'!F173)</f>
        <v>-14188</v>
      </c>
      <c r="G173" s="11"/>
      <c r="H173" s="11"/>
      <c r="I173" s="11"/>
      <c r="J173" s="20">
        <f t="shared" si="55"/>
        <v>128712</v>
      </c>
      <c r="K173" s="108">
        <v>21788</v>
      </c>
      <c r="L173" s="3">
        <f t="shared" si="56"/>
        <v>106924</v>
      </c>
    </row>
    <row r="174" spans="1:12" x14ac:dyDescent="0.3">
      <c r="A174" s="254"/>
      <c r="B174" s="261"/>
      <c r="C174" s="6" t="s">
        <v>49</v>
      </c>
      <c r="D174" s="7">
        <f>SUM(D165:D173)</f>
        <v>967900</v>
      </c>
      <c r="E174" s="7">
        <f>SUM(E165:E173)</f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0">
        <f t="shared" si="57"/>
        <v>346472</v>
      </c>
      <c r="L174" s="7">
        <f t="shared" si="57"/>
        <v>621428</v>
      </c>
    </row>
    <row r="175" spans="1:12" x14ac:dyDescent="0.3">
      <c r="A175" s="262" t="s">
        <v>67</v>
      </c>
      <c r="B175" s="264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08">
        <v>50200</v>
      </c>
      <c r="L175" s="3">
        <f t="shared" ref="L175:L191" si="59">J175-K175</f>
        <v>107000</v>
      </c>
    </row>
    <row r="176" spans="1:12" x14ac:dyDescent="0.3">
      <c r="A176" s="263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08">
        <v>9685</v>
      </c>
      <c r="L176" s="3">
        <f t="shared" si="59"/>
        <v>19528</v>
      </c>
    </row>
    <row r="177" spans="1:12" x14ac:dyDescent="0.3">
      <c r="A177" s="262" t="s">
        <v>75</v>
      </c>
      <c r="B177" s="264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08">
        <v>1094647</v>
      </c>
      <c r="L177" s="3">
        <f t="shared" si="59"/>
        <v>509862</v>
      </c>
    </row>
    <row r="178" spans="1:12" x14ac:dyDescent="0.3">
      <c r="A178" s="263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08">
        <v>210705</v>
      </c>
      <c r="L178" s="3">
        <f t="shared" si="59"/>
        <v>88414</v>
      </c>
    </row>
    <row r="179" spans="1:12" x14ac:dyDescent="0.3">
      <c r="A179" s="345" t="s">
        <v>80</v>
      </c>
      <c r="B179" s="345"/>
      <c r="C179" s="345"/>
      <c r="D179" s="123">
        <f>SUM(D163+D164+D174+D175+D176+D177+D178)</f>
        <v>9772723</v>
      </c>
      <c r="E179" s="123">
        <f>SUM(E163,E164,E174,E175:E178)</f>
        <v>9772723</v>
      </c>
      <c r="F179" s="123">
        <f t="shared" ref="F179:L179" si="60">SUM(F163+F164+F174+F175+F176+F177+F178)</f>
        <v>0</v>
      </c>
      <c r="G179" s="123">
        <f t="shared" si="60"/>
        <v>322168</v>
      </c>
      <c r="H179" s="123">
        <f t="shared" si="60"/>
        <v>0</v>
      </c>
      <c r="I179" s="123">
        <f t="shared" si="60"/>
        <v>0</v>
      </c>
      <c r="J179" s="123">
        <f t="shared" si="60"/>
        <v>10094891</v>
      </c>
      <c r="K179" s="124">
        <f t="shared" si="60"/>
        <v>5911590</v>
      </c>
      <c r="L179" s="123">
        <f t="shared" si="60"/>
        <v>4183301</v>
      </c>
    </row>
    <row r="180" spans="1:12" x14ac:dyDescent="0.3">
      <c r="A180" s="254" t="s">
        <v>15</v>
      </c>
      <c r="B180" s="264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3">
      <c r="A181" s="254"/>
      <c r="B181" s="268"/>
      <c r="C181" s="43" t="s">
        <v>30</v>
      </c>
      <c r="D181" s="44">
        <v>0</v>
      </c>
      <c r="E181" s="44">
        <v>10500000</v>
      </c>
      <c r="F181" s="44">
        <f>SUM('2019.07.31.'!F181)</f>
        <v>-10500000</v>
      </c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3">
      <c r="A182" s="254"/>
      <c r="B182" s="268"/>
      <c r="C182" s="6" t="s">
        <v>53</v>
      </c>
      <c r="D182" s="7">
        <f>D180+D181</f>
        <v>11144060</v>
      </c>
      <c r="E182" s="7">
        <f>SUM(E180:E181)</f>
        <v>21644060</v>
      </c>
      <c r="F182" s="7">
        <f t="shared" ref="F182:L182" si="61">F180+F181</f>
        <v>-10500000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3">
        <f t="shared" si="61"/>
        <v>8187749</v>
      </c>
      <c r="L182" s="7">
        <f t="shared" si="61"/>
        <v>2956311</v>
      </c>
    </row>
    <row r="183" spans="1:12" x14ac:dyDescent="0.3">
      <c r="A183" s="254"/>
      <c r="B183" s="268"/>
      <c r="C183" s="82" t="s">
        <v>31</v>
      </c>
      <c r="D183" s="83">
        <v>2295657</v>
      </c>
      <c r="E183" s="83">
        <v>2295657</v>
      </c>
      <c r="F183" s="83">
        <f>SUM('2019.07.31.'!F183)</f>
        <v>4274550</v>
      </c>
      <c r="G183" s="83"/>
      <c r="H183" s="83"/>
      <c r="I183" s="83"/>
      <c r="J183" s="85">
        <f t="shared" si="58"/>
        <v>6570207</v>
      </c>
      <c r="K183" s="111">
        <v>4345532</v>
      </c>
      <c r="L183" s="85">
        <f t="shared" si="59"/>
        <v>2224675</v>
      </c>
    </row>
    <row r="184" spans="1:12" x14ac:dyDescent="0.3">
      <c r="A184" s="254"/>
      <c r="B184" s="268"/>
      <c r="C184" s="10" t="s">
        <v>33</v>
      </c>
      <c r="D184" s="3">
        <v>90000</v>
      </c>
      <c r="E184" s="3">
        <v>90000</v>
      </c>
      <c r="F184" s="3">
        <f>SUM('2019.07.31.'!F184)</f>
        <v>142959</v>
      </c>
      <c r="G184" s="3"/>
      <c r="H184" s="3"/>
      <c r="I184" s="3"/>
      <c r="J184" s="3">
        <f t="shared" si="58"/>
        <v>232959</v>
      </c>
      <c r="K184" s="108">
        <v>232959</v>
      </c>
      <c r="L184" s="3">
        <f t="shared" si="59"/>
        <v>0</v>
      </c>
    </row>
    <row r="185" spans="1:12" x14ac:dyDescent="0.3">
      <c r="A185" s="254"/>
      <c r="B185" s="268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08">
        <v>0</v>
      </c>
      <c r="L185" s="3">
        <f t="shared" si="59"/>
        <v>230000</v>
      </c>
    </row>
    <row r="186" spans="1:12" x14ac:dyDescent="0.3">
      <c r="A186" s="254"/>
      <c r="B186" s="268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08">
        <v>0</v>
      </c>
      <c r="L186" s="3">
        <f t="shared" si="59"/>
        <v>14850000</v>
      </c>
    </row>
    <row r="187" spans="1:12" x14ac:dyDescent="0.3">
      <c r="A187" s="254"/>
      <c r="B187" s="268"/>
      <c r="C187" s="10" t="s">
        <v>41</v>
      </c>
      <c r="D187" s="3">
        <v>25112271</v>
      </c>
      <c r="E187" s="3">
        <v>6344554</v>
      </c>
      <c r="F187" s="3">
        <f>SUM('2019.07.31.'!F187)</f>
        <v>6082491</v>
      </c>
      <c r="G187" s="3"/>
      <c r="H187" s="3"/>
      <c r="I187" s="3"/>
      <c r="J187" s="3">
        <f t="shared" si="58"/>
        <v>12427045</v>
      </c>
      <c r="K187" s="108">
        <v>5250010</v>
      </c>
      <c r="L187" s="3">
        <f t="shared" si="59"/>
        <v>7177035</v>
      </c>
    </row>
    <row r="188" spans="1:12" x14ac:dyDescent="0.3">
      <c r="A188" s="254"/>
      <c r="B188" s="268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08">
        <v>38298</v>
      </c>
      <c r="L188" s="3">
        <f t="shared" si="59"/>
        <v>191702</v>
      </c>
    </row>
    <row r="189" spans="1:12" x14ac:dyDescent="0.3">
      <c r="A189" s="254"/>
      <c r="B189" s="268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08">
        <v>0</v>
      </c>
      <c r="L189" s="3">
        <f t="shared" si="59"/>
        <v>230000</v>
      </c>
    </row>
    <row r="190" spans="1:12" x14ac:dyDescent="0.3">
      <c r="A190" s="254"/>
      <c r="B190" s="268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08">
        <v>1480399</v>
      </c>
      <c r="L190" s="3">
        <f t="shared" si="59"/>
        <v>1965148</v>
      </c>
    </row>
    <row r="191" spans="1:12" x14ac:dyDescent="0.3">
      <c r="A191" s="254"/>
      <c r="B191" s="268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08">
        <v>0</v>
      </c>
      <c r="L191" s="3">
        <f t="shared" si="59"/>
        <v>229990</v>
      </c>
    </row>
    <row r="192" spans="1:12" x14ac:dyDescent="0.3">
      <c r="A192" s="254"/>
      <c r="B192" s="268"/>
      <c r="C192" s="6" t="s">
        <v>49</v>
      </c>
      <c r="D192" s="7">
        <f>SUM(D184:D191)</f>
        <v>46650091</v>
      </c>
      <c r="E192" s="7">
        <f>SUM(E184:E191)</f>
        <v>25650091</v>
      </c>
      <c r="F192" s="7">
        <f t="shared" ref="F192:L192" si="62">SUM(F184:F191)</f>
        <v>6225450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0">
        <f t="shared" si="62"/>
        <v>7001666</v>
      </c>
      <c r="L192" s="7">
        <f t="shared" si="62"/>
        <v>24873875</v>
      </c>
    </row>
    <row r="193" spans="1:12" x14ac:dyDescent="0.3">
      <c r="A193" s="254"/>
      <c r="B193" s="268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08">
        <v>0</v>
      </c>
      <c r="L193" s="3">
        <f t="shared" ref="L193:L195" si="64">J193-K193</f>
        <v>0</v>
      </c>
    </row>
    <row r="194" spans="1:12" x14ac:dyDescent="0.3">
      <c r="A194" s="254"/>
      <c r="B194" s="268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08">
        <v>0</v>
      </c>
      <c r="L194" s="3">
        <f t="shared" si="64"/>
        <v>3740</v>
      </c>
    </row>
    <row r="195" spans="1:12" x14ac:dyDescent="0.3">
      <c r="A195" s="254"/>
      <c r="B195" s="268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08">
        <v>0</v>
      </c>
      <c r="L195" s="3">
        <f t="shared" si="64"/>
        <v>1010</v>
      </c>
    </row>
    <row r="196" spans="1:12" x14ac:dyDescent="0.3">
      <c r="A196" s="254"/>
      <c r="B196" s="268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0">
        <f t="shared" si="65"/>
        <v>0</v>
      </c>
      <c r="L196" s="7">
        <f t="shared" si="65"/>
        <v>4750</v>
      </c>
    </row>
    <row r="197" spans="1:12" x14ac:dyDescent="0.3">
      <c r="A197" s="254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08">
        <v>10500000</v>
      </c>
      <c r="L197" s="3">
        <f t="shared" ref="L197" si="67">J197-K197</f>
        <v>0</v>
      </c>
    </row>
    <row r="198" spans="1:12" x14ac:dyDescent="0.3">
      <c r="A198" s="346" t="s">
        <v>81</v>
      </c>
      <c r="B198" s="347"/>
      <c r="C198" s="348"/>
      <c r="D198" s="122">
        <f>SUM(D182+D183+D192+D196+D197)</f>
        <v>60094558</v>
      </c>
      <c r="E198" s="122">
        <f>SUM(E182,E183,E192,E196,E197)</f>
        <v>60094558</v>
      </c>
      <c r="F198" s="122">
        <f t="shared" ref="F198:L198" si="68">SUM(F182+F183+F192+F196+F197)</f>
        <v>0</v>
      </c>
      <c r="G198" s="122">
        <f t="shared" si="68"/>
        <v>0</v>
      </c>
      <c r="H198" s="122">
        <f t="shared" si="68"/>
        <v>0</v>
      </c>
      <c r="I198" s="122">
        <f t="shared" si="68"/>
        <v>0</v>
      </c>
      <c r="J198" s="122">
        <f t="shared" si="68"/>
        <v>60094558</v>
      </c>
      <c r="K198" s="124">
        <f t="shared" si="68"/>
        <v>30034947</v>
      </c>
      <c r="L198" s="122">
        <f t="shared" si="68"/>
        <v>30059611</v>
      </c>
    </row>
    <row r="199" spans="1:12" x14ac:dyDescent="0.3">
      <c r="A199" s="285" t="s">
        <v>85</v>
      </c>
      <c r="B199" s="264" t="s">
        <v>46</v>
      </c>
      <c r="C199" s="12" t="s">
        <v>24</v>
      </c>
      <c r="D199" s="3">
        <v>9880165</v>
      </c>
      <c r="E199" s="3">
        <v>9662762</v>
      </c>
      <c r="F199" s="3">
        <v>-100000</v>
      </c>
      <c r="G199" s="3"/>
      <c r="H199" s="3"/>
      <c r="I199" s="3"/>
      <c r="J199" s="20">
        <f t="shared" ref="J199:J204" si="69">E199+F199+G199+H199+I199</f>
        <v>9562762</v>
      </c>
      <c r="K199" s="108">
        <v>5940880</v>
      </c>
      <c r="L199" s="3">
        <f t="shared" ref="L199:L204" si="70">J199-K199</f>
        <v>3621882</v>
      </c>
    </row>
    <row r="200" spans="1:12" x14ac:dyDescent="0.3">
      <c r="A200" s="285"/>
      <c r="B200" s="268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08">
        <v>200000</v>
      </c>
      <c r="L200" s="3">
        <f t="shared" si="70"/>
        <v>200000</v>
      </c>
    </row>
    <row r="201" spans="1:12" x14ac:dyDescent="0.3">
      <c r="A201" s="285"/>
      <c r="B201" s="268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08">
        <v>0</v>
      </c>
      <c r="L201" s="3">
        <f t="shared" si="70"/>
        <v>20000</v>
      </c>
    </row>
    <row r="202" spans="1:12" x14ac:dyDescent="0.3">
      <c r="A202" s="285"/>
      <c r="B202" s="268"/>
      <c r="C202" s="2" t="s">
        <v>27</v>
      </c>
      <c r="D202" s="3">
        <v>75000</v>
      </c>
      <c r="E202" s="3">
        <v>75000</v>
      </c>
      <c r="F202" s="3">
        <f>SUM('2019.06.30.'!F202,'2019.07.31.'!F202,'2019.08.31.'!F202)</f>
        <v>15912</v>
      </c>
      <c r="G202" s="3"/>
      <c r="H202" s="3"/>
      <c r="I202" s="3"/>
      <c r="J202" s="20">
        <f t="shared" si="69"/>
        <v>90912</v>
      </c>
      <c r="K202" s="108">
        <v>15912</v>
      </c>
      <c r="L202" s="3">
        <f t="shared" si="70"/>
        <v>75000</v>
      </c>
    </row>
    <row r="203" spans="1:12" x14ac:dyDescent="0.3">
      <c r="A203" s="285"/>
      <c r="B203" s="268"/>
      <c r="C203" s="2" t="s">
        <v>28</v>
      </c>
      <c r="D203" s="3">
        <v>48000</v>
      </c>
      <c r="E203" s="3">
        <v>48000</v>
      </c>
      <c r="F203" s="3"/>
      <c r="H203" s="3"/>
      <c r="I203" s="3"/>
      <c r="J203" s="20">
        <f t="shared" si="69"/>
        <v>48000</v>
      </c>
      <c r="K203" s="108">
        <v>24000</v>
      </c>
      <c r="L203" s="3">
        <f t="shared" si="70"/>
        <v>24000</v>
      </c>
    </row>
    <row r="204" spans="1:12" x14ac:dyDescent="0.3">
      <c r="A204" s="285"/>
      <c r="B204" s="268"/>
      <c r="C204" s="2" t="s">
        <v>29</v>
      </c>
      <c r="D204" s="3">
        <v>264000</v>
      </c>
      <c r="E204" s="3">
        <v>481403</v>
      </c>
      <c r="F204" s="3">
        <f>(SUM('2019.07.31.'!F204,'2019.08.31.'!F204))+100000</f>
        <v>188723</v>
      </c>
      <c r="G204" s="3"/>
      <c r="H204" s="3"/>
      <c r="I204" s="3"/>
      <c r="J204" s="20">
        <f t="shared" si="69"/>
        <v>670126</v>
      </c>
      <c r="K204" s="108">
        <v>435486</v>
      </c>
      <c r="L204" s="3">
        <f t="shared" si="70"/>
        <v>234640</v>
      </c>
    </row>
    <row r="205" spans="1:12" x14ac:dyDescent="0.3">
      <c r="A205" s="285"/>
      <c r="B205" s="268"/>
      <c r="C205" s="26" t="s">
        <v>53</v>
      </c>
      <c r="D205" s="7">
        <f>SUM(D199:D204)</f>
        <v>10687165</v>
      </c>
      <c r="E205" s="7">
        <f>SUM(E199:E204)</f>
        <v>10687165</v>
      </c>
      <c r="F205" s="7">
        <f>SUM(F199:F204)</f>
        <v>104635</v>
      </c>
      <c r="G205" s="7">
        <f t="shared" ref="G205:L205" si="71">SUM(G199:G204)</f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0">
        <f t="shared" si="71"/>
        <v>6616278</v>
      </c>
      <c r="L205" s="7">
        <f t="shared" si="71"/>
        <v>4175522</v>
      </c>
    </row>
    <row r="206" spans="1:12" x14ac:dyDescent="0.3">
      <c r="A206" s="285"/>
      <c r="B206" s="268"/>
      <c r="C206" s="86" t="s">
        <v>31</v>
      </c>
      <c r="D206" s="87">
        <v>2120857</v>
      </c>
      <c r="E206" s="87">
        <v>2120857</v>
      </c>
      <c r="F206" s="88"/>
      <c r="G206" s="88"/>
      <c r="H206" s="88"/>
      <c r="I206" s="88"/>
      <c r="J206" s="84">
        <f t="shared" ref="J206:J213" si="72">E206+F206+G206+H206+I206</f>
        <v>2120857</v>
      </c>
      <c r="K206" s="111">
        <v>1317847</v>
      </c>
      <c r="L206" s="85">
        <f t="shared" ref="L206:L213" si="73">J206-K206</f>
        <v>803010</v>
      </c>
    </row>
    <row r="207" spans="1:12" x14ac:dyDescent="0.3">
      <c r="A207" s="285"/>
      <c r="B207" s="268"/>
      <c r="C207" s="99" t="s">
        <v>33</v>
      </c>
      <c r="D207" s="100">
        <v>0</v>
      </c>
      <c r="E207" s="100">
        <v>186928</v>
      </c>
      <c r="F207" s="100"/>
      <c r="G207" s="100"/>
      <c r="H207" s="100"/>
      <c r="I207" s="100"/>
      <c r="J207" s="20">
        <f t="shared" si="72"/>
        <v>186928</v>
      </c>
      <c r="K207" s="114">
        <v>30769</v>
      </c>
      <c r="L207" s="3">
        <f t="shared" si="73"/>
        <v>156159</v>
      </c>
    </row>
    <row r="208" spans="1:12" x14ac:dyDescent="0.3">
      <c r="A208" s="285"/>
      <c r="B208" s="268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4">
        <v>29571</v>
      </c>
      <c r="L208" s="3">
        <f t="shared" si="73"/>
        <v>143229</v>
      </c>
    </row>
    <row r="209" spans="1:12" x14ac:dyDescent="0.3">
      <c r="A209" s="285"/>
      <c r="B209" s="268"/>
      <c r="C209" s="98" t="s">
        <v>38</v>
      </c>
      <c r="D209" s="47">
        <v>0</v>
      </c>
      <c r="E209" s="47">
        <v>3500</v>
      </c>
      <c r="F209" s="47">
        <v>5000</v>
      </c>
      <c r="G209" s="47"/>
      <c r="H209" s="47"/>
      <c r="I209" s="47"/>
      <c r="J209" s="20">
        <f t="shared" si="72"/>
        <v>8500</v>
      </c>
      <c r="K209" s="114">
        <v>3500</v>
      </c>
      <c r="L209" s="3">
        <f t="shared" si="73"/>
        <v>5000</v>
      </c>
    </row>
    <row r="210" spans="1:12" x14ac:dyDescent="0.3">
      <c r="A210" s="285"/>
      <c r="B210" s="268"/>
      <c r="C210" s="131" t="s">
        <v>41</v>
      </c>
      <c r="D210" s="47">
        <v>0</v>
      </c>
      <c r="E210" s="47">
        <v>0</v>
      </c>
      <c r="F210" s="47">
        <f>(SUM('2019.06.30.'!F210))+20000</f>
        <v>21685</v>
      </c>
      <c r="G210" s="47"/>
      <c r="H210" s="47"/>
      <c r="I210" s="47"/>
      <c r="J210" s="20">
        <f t="shared" si="72"/>
        <v>21685</v>
      </c>
      <c r="K210" s="114">
        <v>1685</v>
      </c>
      <c r="L210" s="3">
        <f t="shared" si="73"/>
        <v>20000</v>
      </c>
    </row>
    <row r="211" spans="1:12" x14ac:dyDescent="0.3">
      <c r="A211" s="285"/>
      <c r="B211" s="268"/>
      <c r="C211" s="46" t="s">
        <v>42</v>
      </c>
      <c r="D211" s="47">
        <v>0</v>
      </c>
      <c r="E211" s="47">
        <v>64600</v>
      </c>
      <c r="F211" s="47">
        <f>(SUM('2019.06.30.'!F211,'2019.08.31.'!F211,'2019.07.31.'!F211))+50000</f>
        <v>64310</v>
      </c>
      <c r="G211" s="47"/>
      <c r="H211" s="47"/>
      <c r="I211" s="47"/>
      <c r="J211" s="20">
        <f t="shared" si="72"/>
        <v>128910</v>
      </c>
      <c r="K211" s="114">
        <v>78910</v>
      </c>
      <c r="L211" s="3">
        <f t="shared" si="73"/>
        <v>50000</v>
      </c>
    </row>
    <row r="212" spans="1:12" x14ac:dyDescent="0.3">
      <c r="A212" s="285"/>
      <c r="B212" s="268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4">
        <v>37025</v>
      </c>
      <c r="L212" s="3">
        <f t="shared" si="73"/>
        <v>74531</v>
      </c>
    </row>
    <row r="213" spans="1:12" x14ac:dyDescent="0.3">
      <c r="A213" s="285"/>
      <c r="B213" s="268"/>
      <c r="C213" s="46" t="s">
        <v>45</v>
      </c>
      <c r="D213" s="47">
        <v>0</v>
      </c>
      <c r="E213" s="47">
        <v>276854</v>
      </c>
      <c r="F213" s="47">
        <f>SUM('2019.07.31.'!F213)</f>
        <v>26400</v>
      </c>
      <c r="G213" s="47"/>
      <c r="H213" s="47"/>
      <c r="I213" s="47"/>
      <c r="J213" s="20">
        <f t="shared" si="72"/>
        <v>303254</v>
      </c>
      <c r="K213" s="114">
        <v>210879</v>
      </c>
      <c r="L213" s="3">
        <f t="shared" si="73"/>
        <v>92375</v>
      </c>
    </row>
    <row r="214" spans="1:12" x14ac:dyDescent="0.3">
      <c r="A214" s="263"/>
      <c r="B214" s="265"/>
      <c r="C214" s="27" t="s">
        <v>49</v>
      </c>
      <c r="D214" s="28">
        <f>SUM(D207:D213)</f>
        <v>0</v>
      </c>
      <c r="E214" s="28">
        <f>SUM(E207:E213)</f>
        <v>816238</v>
      </c>
      <c r="F214" s="28">
        <f t="shared" ref="F214:L214" si="74">SUM(F207:F213)</f>
        <v>117395</v>
      </c>
      <c r="G214" s="28">
        <f t="shared" si="74"/>
        <v>0</v>
      </c>
      <c r="H214" s="28">
        <f t="shared" si="74"/>
        <v>0</v>
      </c>
      <c r="I214" s="28">
        <f t="shared" si="74"/>
        <v>0</v>
      </c>
      <c r="J214" s="28">
        <f t="shared" si="74"/>
        <v>933633</v>
      </c>
      <c r="K214" s="133">
        <f>SUM(K207:K213)</f>
        <v>392339</v>
      </c>
      <c r="L214" s="28">
        <f t="shared" si="74"/>
        <v>541294</v>
      </c>
    </row>
    <row r="215" spans="1:12" x14ac:dyDescent="0.3">
      <c r="A215" s="254" t="s">
        <v>68</v>
      </c>
      <c r="B215" s="279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08">
        <v>1671783</v>
      </c>
      <c r="L215" s="3">
        <f t="shared" ref="L215:L216" si="75">J215-K215</f>
        <v>829773</v>
      </c>
    </row>
    <row r="216" spans="1:12" x14ac:dyDescent="0.3">
      <c r="A216" s="262"/>
      <c r="B216" s="280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08">
        <v>321651</v>
      </c>
      <c r="L216" s="3">
        <f t="shared" si="75"/>
        <v>144918</v>
      </c>
    </row>
    <row r="217" spans="1:12" x14ac:dyDescent="0.3">
      <c r="A217" s="346" t="s">
        <v>82</v>
      </c>
      <c r="B217" s="347"/>
      <c r="C217" s="348"/>
      <c r="D217" s="125">
        <f>SUM(D205+D206+D215+D216+D214)</f>
        <v>15776147</v>
      </c>
      <c r="E217" s="125">
        <f>SUM(E205,E206,E214,E215:E216)</f>
        <v>16592385</v>
      </c>
      <c r="F217" s="125">
        <f t="shared" ref="F217:I217" si="77">SUM(F205+F206+F215+F216+F214)</f>
        <v>222030</v>
      </c>
      <c r="G217" s="125">
        <f t="shared" si="77"/>
        <v>0</v>
      </c>
      <c r="H217" s="125">
        <f t="shared" si="77"/>
        <v>0</v>
      </c>
      <c r="I217" s="125">
        <f t="shared" si="77"/>
        <v>0</v>
      </c>
      <c r="J217" s="125">
        <f>SUM(J205+J206+J215+J216+J214)</f>
        <v>16814415</v>
      </c>
      <c r="K217" s="126">
        <f>SUM(K205+K206+K215+K216+K214)</f>
        <v>10319898</v>
      </c>
      <c r="L217" s="127">
        <f>SUM(L205+L206+L215+L216+L214)</f>
        <v>6494517</v>
      </c>
    </row>
    <row r="218" spans="1:12" ht="30.75" customHeight="1" x14ac:dyDescent="0.3">
      <c r="A218" s="349" t="s">
        <v>74</v>
      </c>
      <c r="B218" s="350"/>
      <c r="C218" s="351"/>
      <c r="D218" s="128">
        <f t="shared" ref="D218:K218" si="78">SUM(D88+D113+D135+D156+D179+D198+D217)</f>
        <v>230443641</v>
      </c>
      <c r="E218" s="128">
        <f t="shared" si="78"/>
        <v>230521849</v>
      </c>
      <c r="F218" s="128">
        <f t="shared" si="78"/>
        <v>0</v>
      </c>
      <c r="G218" s="128">
        <f t="shared" si="78"/>
        <v>1233067</v>
      </c>
      <c r="H218" s="128">
        <f t="shared" si="78"/>
        <v>0</v>
      </c>
      <c r="I218" s="128">
        <f t="shared" si="78"/>
        <v>20000</v>
      </c>
      <c r="J218" s="128">
        <f t="shared" si="78"/>
        <v>231774916</v>
      </c>
      <c r="K218" s="129">
        <f t="shared" si="78"/>
        <v>129753488</v>
      </c>
      <c r="L218" s="128">
        <f>SUM(L88+L113+L135+L156+L179+L198+L217)</f>
        <v>102021428</v>
      </c>
    </row>
    <row r="219" spans="1:12" x14ac:dyDescent="0.3">
      <c r="B219" s="5"/>
      <c r="E219" s="4"/>
      <c r="F219" s="4"/>
      <c r="G219" s="4"/>
      <c r="H219" s="4"/>
      <c r="I219" s="4"/>
      <c r="J219" s="4"/>
      <c r="K219" s="107"/>
    </row>
    <row r="220" spans="1:12" x14ac:dyDescent="0.3">
      <c r="B220" s="5"/>
      <c r="E220" s="4"/>
      <c r="F220" s="4"/>
      <c r="G220" s="4"/>
      <c r="H220" s="4"/>
      <c r="I220" s="4"/>
      <c r="J220" s="4"/>
      <c r="K220" s="107"/>
    </row>
    <row r="221" spans="1:12" x14ac:dyDescent="0.3">
      <c r="B221" s="5"/>
      <c r="E221" s="4"/>
      <c r="F221" s="4"/>
      <c r="G221" s="4"/>
      <c r="H221" s="4"/>
      <c r="I221" s="4"/>
      <c r="J221" s="4"/>
      <c r="K221" s="107"/>
    </row>
    <row r="222" spans="1:12" x14ac:dyDescent="0.3">
      <c r="B222" s="5"/>
      <c r="E222" s="4"/>
      <c r="F222" s="4"/>
      <c r="G222" s="4"/>
      <c r="H222" s="4"/>
      <c r="I222" s="4"/>
      <c r="J222" s="4"/>
      <c r="K222" s="107"/>
    </row>
    <row r="223" spans="1:12" x14ac:dyDescent="0.3">
      <c r="B223" s="5"/>
      <c r="E223" s="4"/>
      <c r="F223" s="4"/>
      <c r="G223" s="4"/>
      <c r="H223" s="4"/>
      <c r="I223" s="4"/>
      <c r="J223" s="4"/>
      <c r="K223" s="107"/>
    </row>
    <row r="224" spans="1:12" ht="15" thickBot="1" x14ac:dyDescent="0.35">
      <c r="B224" s="5"/>
      <c r="E224" s="4"/>
      <c r="F224" s="4"/>
      <c r="G224" s="130"/>
      <c r="H224" s="4"/>
      <c r="I224" s="4"/>
      <c r="J224" s="4"/>
      <c r="K224" s="107"/>
    </row>
    <row r="225" spans="1:11" ht="15" thickTop="1" x14ac:dyDescent="0.3">
      <c r="A225" s="283" t="s">
        <v>121</v>
      </c>
      <c r="B225" s="283"/>
      <c r="C225" s="283"/>
      <c r="D225" s="283"/>
      <c r="E225" s="283"/>
      <c r="F225" s="283"/>
      <c r="G225" s="283"/>
      <c r="H225" s="283"/>
      <c r="I225" s="283"/>
      <c r="J225" s="283"/>
      <c r="K225" s="283"/>
    </row>
    <row r="226" spans="1:11" s="75" customFormat="1" ht="33.75" customHeight="1" x14ac:dyDescent="0.3">
      <c r="A226" s="323" t="s">
        <v>0</v>
      </c>
      <c r="B226" s="324"/>
      <c r="C226" s="71" t="s">
        <v>3</v>
      </c>
      <c r="D226" s="71" t="s">
        <v>4</v>
      </c>
      <c r="E226" s="73" t="s">
        <v>111</v>
      </c>
      <c r="F226" s="72" t="s">
        <v>70</v>
      </c>
      <c r="G226" s="105" t="s">
        <v>71</v>
      </c>
      <c r="H226" s="106" t="s">
        <v>71</v>
      </c>
      <c r="I226" s="73" t="s">
        <v>71</v>
      </c>
      <c r="J226" s="73" t="s">
        <v>115</v>
      </c>
      <c r="K226" s="74" t="s">
        <v>118</v>
      </c>
    </row>
    <row r="227" spans="1:11" x14ac:dyDescent="0.3">
      <c r="A227" s="325"/>
      <c r="B227" s="326"/>
      <c r="C227" s="33" t="s">
        <v>16</v>
      </c>
      <c r="D227" s="34">
        <f t="shared" ref="D227:K228" si="79">D5+D14+D16+D18+D20+D22</f>
        <v>117230959</v>
      </c>
      <c r="E227" s="34">
        <f t="shared" si="79"/>
        <v>117297167</v>
      </c>
      <c r="F227" s="34">
        <f t="shared" si="79"/>
        <v>0</v>
      </c>
      <c r="G227" s="34">
        <f t="shared" si="79"/>
        <v>-2110933</v>
      </c>
      <c r="H227" s="34">
        <f t="shared" si="79"/>
        <v>0</v>
      </c>
      <c r="I227" s="34">
        <f t="shared" si="79"/>
        <v>0</v>
      </c>
      <c r="J227" s="34">
        <f t="shared" si="79"/>
        <v>115186234</v>
      </c>
      <c r="K227" s="34">
        <f t="shared" si="79"/>
        <v>56755805</v>
      </c>
    </row>
    <row r="228" spans="1:11" x14ac:dyDescent="0.3">
      <c r="A228" s="325"/>
      <c r="B228" s="326"/>
      <c r="C228" s="33" t="s">
        <v>17</v>
      </c>
      <c r="D228" s="34">
        <f t="shared" si="79"/>
        <v>16012810</v>
      </c>
      <c r="E228" s="34">
        <f t="shared" si="79"/>
        <v>16012810</v>
      </c>
      <c r="F228" s="34">
        <f t="shared" si="79"/>
        <v>0</v>
      </c>
      <c r="G228" s="34">
        <f t="shared" si="79"/>
        <v>0</v>
      </c>
      <c r="H228" s="34">
        <f t="shared" si="79"/>
        <v>0</v>
      </c>
      <c r="I228" s="34">
        <f t="shared" si="79"/>
        <v>0</v>
      </c>
      <c r="J228" s="34">
        <f t="shared" si="79"/>
        <v>16012810</v>
      </c>
      <c r="K228" s="34">
        <f t="shared" si="79"/>
        <v>16012810</v>
      </c>
    </row>
    <row r="229" spans="1:11" x14ac:dyDescent="0.3">
      <c r="A229" s="325"/>
      <c r="B229" s="326"/>
      <c r="C229" s="33" t="s">
        <v>18</v>
      </c>
      <c r="D229" s="34">
        <f t="shared" ref="D229:K231" si="80">D7</f>
        <v>96985672</v>
      </c>
      <c r="E229" s="34">
        <f t="shared" si="80"/>
        <v>96985672</v>
      </c>
      <c r="F229" s="34">
        <f t="shared" si="80"/>
        <v>0</v>
      </c>
      <c r="G229" s="34">
        <f t="shared" si="80"/>
        <v>3344000</v>
      </c>
      <c r="H229" s="34">
        <f t="shared" si="80"/>
        <v>0</v>
      </c>
      <c r="I229" s="34">
        <f t="shared" si="80"/>
        <v>0</v>
      </c>
      <c r="J229" s="34">
        <f t="shared" si="80"/>
        <v>100329672</v>
      </c>
      <c r="K229" s="34">
        <f t="shared" si="80"/>
        <v>61177949</v>
      </c>
    </row>
    <row r="230" spans="1:11" x14ac:dyDescent="0.3">
      <c r="A230" s="325"/>
      <c r="B230" s="326"/>
      <c r="C230" s="35" t="s">
        <v>22</v>
      </c>
      <c r="D230" s="34">
        <f t="shared" si="80"/>
        <v>200000</v>
      </c>
      <c r="E230" s="34">
        <f t="shared" si="80"/>
        <v>200000</v>
      </c>
      <c r="F230" s="34">
        <f t="shared" si="80"/>
        <v>0</v>
      </c>
      <c r="G230" s="34">
        <f t="shared" si="80"/>
        <v>0</v>
      </c>
      <c r="H230" s="34">
        <f t="shared" si="80"/>
        <v>0</v>
      </c>
      <c r="I230" s="34">
        <f t="shared" si="80"/>
        <v>0</v>
      </c>
      <c r="J230" s="34">
        <f t="shared" si="80"/>
        <v>200000</v>
      </c>
      <c r="K230" s="34">
        <f t="shared" si="80"/>
        <v>0</v>
      </c>
    </row>
    <row r="231" spans="1:11" x14ac:dyDescent="0.3">
      <c r="A231" s="325"/>
      <c r="B231" s="326"/>
      <c r="C231" s="35" t="s">
        <v>19</v>
      </c>
      <c r="D231" s="34">
        <f t="shared" si="80"/>
        <v>13200</v>
      </c>
      <c r="E231" s="34">
        <f t="shared" si="80"/>
        <v>16540</v>
      </c>
      <c r="F231" s="34">
        <f t="shared" si="80"/>
        <v>5386</v>
      </c>
      <c r="G231" s="34">
        <f t="shared" si="80"/>
        <v>0</v>
      </c>
      <c r="H231" s="34">
        <f t="shared" si="80"/>
        <v>0</v>
      </c>
      <c r="I231" s="34">
        <f t="shared" si="80"/>
        <v>10000</v>
      </c>
      <c r="J231" s="34">
        <f t="shared" si="80"/>
        <v>31926</v>
      </c>
      <c r="K231" s="34">
        <f t="shared" si="80"/>
        <v>21926</v>
      </c>
    </row>
    <row r="232" spans="1:11" x14ac:dyDescent="0.3">
      <c r="A232" s="325"/>
      <c r="B232" s="326"/>
      <c r="C232" s="35" t="s">
        <v>84</v>
      </c>
      <c r="D232" s="34">
        <f>D13+D11</f>
        <v>0</v>
      </c>
      <c r="E232" s="34">
        <f>E13+E11</f>
        <v>9239</v>
      </c>
      <c r="F232" s="34">
        <f t="shared" ref="F232:K232" si="81">F13+F11</f>
        <v>-6290</v>
      </c>
      <c r="G232" s="34">
        <f t="shared" si="81"/>
        <v>0</v>
      </c>
      <c r="H232" s="34">
        <f t="shared" si="81"/>
        <v>0</v>
      </c>
      <c r="I232" s="34">
        <f t="shared" si="81"/>
        <v>10000</v>
      </c>
      <c r="J232" s="34">
        <f>J13+J11</f>
        <v>12949</v>
      </c>
      <c r="K232" s="34">
        <f t="shared" si="81"/>
        <v>3835</v>
      </c>
    </row>
    <row r="233" spans="1:11" x14ac:dyDescent="0.3">
      <c r="A233" s="325"/>
      <c r="B233" s="326"/>
      <c r="C233" s="33" t="s">
        <v>20</v>
      </c>
      <c r="D233" s="34">
        <f>D10+D12</f>
        <v>1000</v>
      </c>
      <c r="E233" s="34">
        <f>E10+E12</f>
        <v>421</v>
      </c>
      <c r="F233" s="34">
        <f t="shared" ref="F233:K233" si="82">F10+F12</f>
        <v>904</v>
      </c>
      <c r="G233" s="34">
        <f t="shared" si="82"/>
        <v>0</v>
      </c>
      <c r="H233" s="34">
        <f t="shared" si="82"/>
        <v>0</v>
      </c>
      <c r="I233" s="34">
        <f t="shared" si="82"/>
        <v>0</v>
      </c>
      <c r="J233" s="34">
        <f t="shared" si="82"/>
        <v>1325</v>
      </c>
      <c r="K233" s="34">
        <f t="shared" si="82"/>
        <v>304</v>
      </c>
    </row>
    <row r="234" spans="1:11" x14ac:dyDescent="0.3">
      <c r="A234" s="325"/>
      <c r="B234" s="326"/>
      <c r="C234" s="63" t="s">
        <v>86</v>
      </c>
      <c r="D234" s="64">
        <f>D13+D12+D11+D10+D9</f>
        <v>14200</v>
      </c>
      <c r="E234" s="64">
        <f>E13+E12+E11+E10+E9</f>
        <v>26200</v>
      </c>
      <c r="F234" s="64">
        <f t="shared" ref="F234:K234" si="83">F13+F12+F11+F10+F9</f>
        <v>0</v>
      </c>
      <c r="G234" s="64">
        <f t="shared" si="83"/>
        <v>0</v>
      </c>
      <c r="H234" s="64">
        <f t="shared" si="83"/>
        <v>0</v>
      </c>
      <c r="I234" s="64">
        <f t="shared" si="83"/>
        <v>20000</v>
      </c>
      <c r="J234" s="64">
        <f t="shared" si="83"/>
        <v>46200</v>
      </c>
      <c r="K234" s="64">
        <f t="shared" si="83"/>
        <v>26065</v>
      </c>
    </row>
    <row r="235" spans="1:11" x14ac:dyDescent="0.3">
      <c r="A235" s="325"/>
      <c r="B235" s="326"/>
      <c r="C235" s="63" t="s">
        <v>87</v>
      </c>
      <c r="D235" s="64">
        <f>D23+D21+D19+D17+D15+D7+D6</f>
        <v>112998482</v>
      </c>
      <c r="E235" s="64">
        <f>E23+E21+E19+E17+E15+E7+E6</f>
        <v>112998482</v>
      </c>
      <c r="F235" s="64">
        <f t="shared" ref="F235:K235" si="84">F23+F21+F19+F17+F15+F7+F6</f>
        <v>0</v>
      </c>
      <c r="G235" s="64">
        <f t="shared" si="84"/>
        <v>3344000</v>
      </c>
      <c r="H235" s="64">
        <f t="shared" si="84"/>
        <v>0</v>
      </c>
      <c r="I235" s="64">
        <f t="shared" si="84"/>
        <v>0</v>
      </c>
      <c r="J235" s="64">
        <f t="shared" si="84"/>
        <v>116342482</v>
      </c>
      <c r="K235" s="64">
        <f t="shared" si="84"/>
        <v>77190759</v>
      </c>
    </row>
    <row r="236" spans="1:11" x14ac:dyDescent="0.3">
      <c r="A236" s="325"/>
      <c r="B236" s="326"/>
      <c r="C236" s="63" t="s">
        <v>94</v>
      </c>
      <c r="D236" s="64">
        <f>D24</f>
        <v>230443641</v>
      </c>
      <c r="E236" s="64">
        <f>E24</f>
        <v>230521849</v>
      </c>
      <c r="F236" s="64">
        <f t="shared" ref="F236:K236" si="85">F24</f>
        <v>0</v>
      </c>
      <c r="G236" s="64">
        <f t="shared" si="85"/>
        <v>1233067</v>
      </c>
      <c r="H236" s="64">
        <f t="shared" si="85"/>
        <v>0</v>
      </c>
      <c r="I236" s="64">
        <f t="shared" si="85"/>
        <v>20000</v>
      </c>
      <c r="J236" s="64">
        <f t="shared" si="85"/>
        <v>231774916</v>
      </c>
      <c r="K236" s="64">
        <f t="shared" si="85"/>
        <v>133972629</v>
      </c>
    </row>
    <row r="237" spans="1:11" x14ac:dyDescent="0.3">
      <c r="A237" s="325"/>
      <c r="B237" s="326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127937678</v>
      </c>
      <c r="F237" s="34">
        <f>F89+F111+F114+F133+F136+F154+F157+F177+F199+F215+F180+F86+F84+F52+F25</f>
        <v>-715138</v>
      </c>
      <c r="G237" s="34">
        <f t="shared" ref="G237:I237" si="86">G89+G111+G114+G133+G136+G154+G157+G177+G199+G215+G180+G86+G84+G52+G25</f>
        <v>1031856</v>
      </c>
      <c r="H237" s="34">
        <f t="shared" si="86"/>
        <v>0</v>
      </c>
      <c r="I237" s="34">
        <f t="shared" si="86"/>
        <v>0</v>
      </c>
      <c r="J237" s="34">
        <f>J215+J199+J180+J177+J157+J154+J136+J133+J114+J111+J89+J86+J84+J52+J25</f>
        <v>128254396</v>
      </c>
      <c r="K237" s="34">
        <f>K215+K199+K180+K177+K157+K154+K136+K133+K114+K111+K89+K86+K84+K52+K25</f>
        <v>80007549</v>
      </c>
    </row>
    <row r="238" spans="1:11" x14ac:dyDescent="0.3">
      <c r="A238" s="325"/>
      <c r="B238" s="326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1270865</v>
      </c>
    </row>
    <row r="239" spans="1:11" x14ac:dyDescent="0.3">
      <c r="A239" s="325"/>
      <c r="B239" s="326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3">
      <c r="A240" s="325"/>
      <c r="B240" s="326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1" x14ac:dyDescent="0.3">
      <c r="A241" s="325"/>
      <c r="B241" s="326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1" x14ac:dyDescent="0.3">
      <c r="A242" s="325"/>
      <c r="B242" s="326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I243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>J202+J139+J92+J57+J28</f>
        <v>1661400</v>
      </c>
      <c r="K242" s="34">
        <f>K202+K139+K92+K57+K28</f>
        <v>794388</v>
      </c>
    </row>
    <row r="243" spans="1:11" x14ac:dyDescent="0.3">
      <c r="A243" s="325"/>
      <c r="B243" s="326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I243" si="90">F203+F160+F140+F117+F58+F29+F93</f>
        <v>0</v>
      </c>
      <c r="G243" s="34">
        <f t="shared" si="89"/>
        <v>0</v>
      </c>
      <c r="H243" s="34">
        <f t="shared" si="90"/>
        <v>0</v>
      </c>
      <c r="I243" s="34">
        <f t="shared" si="90"/>
        <v>0</v>
      </c>
      <c r="J243" s="34">
        <f>J203+J140+J93+J58+J29+J117+J160</f>
        <v>481000</v>
      </c>
      <c r="K243" s="34">
        <f>K203+K160+K140+K117+K58+K29+K93</f>
        <v>222000</v>
      </c>
    </row>
    <row r="244" spans="1:11" x14ac:dyDescent="0.3">
      <c r="A244" s="325"/>
      <c r="B244" s="326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3925270</v>
      </c>
      <c r="F244" s="34">
        <f>F175+F161+F141+F118+F109+F94+F82+F80+F59+F30+F131</f>
        <v>526415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4640408</v>
      </c>
      <c r="K244" s="34">
        <f>K204+K175+K161+K141+K118+K109+K94+K82+K80+K59+K30+K131</f>
        <v>2106658</v>
      </c>
    </row>
    <row r="245" spans="1:11" x14ac:dyDescent="0.3">
      <c r="A245" s="325"/>
      <c r="B245" s="326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10700000</v>
      </c>
      <c r="F245" s="34">
        <f t="shared" si="92"/>
        <v>-10500000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1" x14ac:dyDescent="0.3">
      <c r="A246" s="325"/>
      <c r="B246" s="326"/>
      <c r="C246" s="63" t="s">
        <v>53</v>
      </c>
      <c r="D246" s="64">
        <f>D205+D182+D163+D143+D215+D177+D154+D133+D131+D175+D120+D111+D109+D96+D86+D84+D82+D80+D61+D32</f>
        <v>140382424</v>
      </c>
      <c r="E246" s="64">
        <f t="shared" ref="E246:K246" si="93">E205+E182+E163+E143+E215+E177+E154+E133+E131+E175+E120+E111+E109+E96+E86+E84+E82+E80+E61+E32</f>
        <v>150937828</v>
      </c>
      <c r="F246" s="64">
        <f t="shared" si="93"/>
        <v>-10500000</v>
      </c>
      <c r="G246" s="64">
        <f t="shared" si="93"/>
        <v>1031856</v>
      </c>
      <c r="H246" s="64">
        <f t="shared" si="93"/>
        <v>0</v>
      </c>
      <c r="I246" s="64">
        <f t="shared" si="93"/>
        <v>0</v>
      </c>
      <c r="J246" s="64">
        <f t="shared" si="93"/>
        <v>141469684</v>
      </c>
      <c r="K246" s="64">
        <f t="shared" si="93"/>
        <v>86316764</v>
      </c>
    </row>
    <row r="247" spans="1:11" x14ac:dyDescent="0.3">
      <c r="A247" s="325"/>
      <c r="B247" s="326"/>
      <c r="C247" s="65" t="s">
        <v>31</v>
      </c>
      <c r="D247" s="64">
        <f>D206+D183+D178+D176+D216+D164+D155+D144+D134+D132+D121+D112+D110+D97+D87+D85+D83+D81+D62+D33</f>
        <v>27536677</v>
      </c>
      <c r="E247" s="64">
        <f>E206+E183+E178+E176+E216+E164+E155+E144+E134+E132+E121+E112+E110+E97+E87+E85+E83+E81+E62+E33</f>
        <v>27547481</v>
      </c>
      <c r="F247" s="64">
        <f t="shared" ref="F247:K247" si="94">F206+F183+F178+F176+F216+F164+F155+F144+F134+F132+F121+F112+F110+F97+F87+F85+F83+F81+F62+F33</f>
        <v>4274550</v>
      </c>
      <c r="G247" s="64">
        <f t="shared" si="94"/>
        <v>201211</v>
      </c>
      <c r="H247" s="64">
        <f t="shared" si="94"/>
        <v>0</v>
      </c>
      <c r="I247" s="64">
        <f t="shared" si="94"/>
        <v>0</v>
      </c>
      <c r="J247" s="64">
        <f t="shared" si="94"/>
        <v>32023242</v>
      </c>
      <c r="K247" s="64">
        <f t="shared" si="94"/>
        <v>20272575</v>
      </c>
    </row>
    <row r="248" spans="1:11" x14ac:dyDescent="0.3">
      <c r="A248" s="325"/>
      <c r="B248" s="326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-50000</v>
      </c>
      <c r="G248" s="34">
        <f t="shared" si="95"/>
        <v>0</v>
      </c>
      <c r="H248" s="34">
        <f t="shared" si="95"/>
        <v>0</v>
      </c>
      <c r="I248" s="34">
        <f t="shared" si="95"/>
        <v>10000</v>
      </c>
      <c r="J248" s="34">
        <f t="shared" si="95"/>
        <v>500000</v>
      </c>
      <c r="K248" s="34">
        <f t="shared" si="95"/>
        <v>49638</v>
      </c>
    </row>
    <row r="249" spans="1:11" x14ac:dyDescent="0.3">
      <c r="A249" s="325"/>
      <c r="B249" s="326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1886928</v>
      </c>
      <c r="F249" s="34">
        <f t="shared" si="96"/>
        <v>22959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1909887</v>
      </c>
      <c r="K249" s="34">
        <f t="shared" si="96"/>
        <v>307080</v>
      </c>
    </row>
    <row r="250" spans="1:11" x14ac:dyDescent="0.3">
      <c r="A250" s="325"/>
      <c r="B250" s="326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153976</v>
      </c>
    </row>
    <row r="251" spans="1:11" x14ac:dyDescent="0.3">
      <c r="A251" s="325"/>
      <c r="B251" s="326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151402</v>
      </c>
    </row>
    <row r="252" spans="1:11" x14ac:dyDescent="0.3">
      <c r="A252" s="325"/>
      <c r="B252" s="326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99">F102+F67+F38</f>
        <v>-900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1738180</v>
      </c>
      <c r="K252" s="34">
        <f t="shared" si="99"/>
        <v>1151271</v>
      </c>
    </row>
    <row r="253" spans="1:11" x14ac:dyDescent="0.3">
      <c r="A253" s="325"/>
      <c r="B253" s="326"/>
      <c r="C253" s="38" t="s">
        <v>37</v>
      </c>
      <c r="D253" s="34">
        <f>D185+D68+D39</f>
        <v>356000</v>
      </c>
      <c r="E253" s="34">
        <f>E185+E68+E39</f>
        <v>356000</v>
      </c>
      <c r="F253" s="34">
        <f t="shared" ref="F253:J253" si="100">F185+F68+F39</f>
        <v>0</v>
      </c>
      <c r="G253" s="34">
        <f t="shared" si="100"/>
        <v>0</v>
      </c>
      <c r="H253" s="34">
        <f t="shared" si="100"/>
        <v>0</v>
      </c>
      <c r="I253" s="34">
        <f t="shared" si="100"/>
        <v>0</v>
      </c>
      <c r="J253" s="34">
        <f t="shared" si="100"/>
        <v>356000</v>
      </c>
      <c r="K253" s="34">
        <f>K185+K68+K39</f>
        <v>0</v>
      </c>
    </row>
    <row r="254" spans="1:11" x14ac:dyDescent="0.3">
      <c r="A254" s="325"/>
      <c r="B254" s="326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1">F169+F148+F125+F103+F69+F40+F209</f>
        <v>-9820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34">
        <f t="shared" si="101"/>
        <v>1384180</v>
      </c>
      <c r="K254" s="34">
        <f t="shared" si="101"/>
        <v>374868</v>
      </c>
    </row>
    <row r="255" spans="1:11" x14ac:dyDescent="0.3">
      <c r="A255" s="325"/>
      <c r="B255" s="326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2">F41</f>
        <v>5386</v>
      </c>
      <c r="G255" s="34">
        <f t="shared" si="102"/>
        <v>0</v>
      </c>
      <c r="H255" s="34">
        <f t="shared" si="102"/>
        <v>0</v>
      </c>
      <c r="I255" s="34">
        <f t="shared" si="102"/>
        <v>10000</v>
      </c>
      <c r="J255" s="34">
        <f t="shared" si="102"/>
        <v>31926</v>
      </c>
      <c r="K255" s="34">
        <f t="shared" si="102"/>
        <v>21926</v>
      </c>
    </row>
    <row r="256" spans="1:11" x14ac:dyDescent="0.3">
      <c r="A256" s="325"/>
      <c r="B256" s="326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16415104</v>
      </c>
      <c r="F256" s="34">
        <f t="shared" si="103"/>
        <v>-61400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34">
        <f t="shared" si="103"/>
        <v>16353704</v>
      </c>
      <c r="K256" s="34">
        <f t="shared" si="103"/>
        <v>561844</v>
      </c>
    </row>
    <row r="257" spans="1:11" x14ac:dyDescent="0.3">
      <c r="A257" s="325"/>
      <c r="B257" s="326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8158686</v>
      </c>
      <c r="F257" s="34">
        <f t="shared" si="104"/>
        <v>6301133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34">
        <f>J187+J171+J150+J127+J105+J71+J43+J210</f>
        <v>14459819</v>
      </c>
      <c r="K257" s="34">
        <f t="shared" si="104"/>
        <v>6590265</v>
      </c>
    </row>
    <row r="258" spans="1:11" x14ac:dyDescent="0.3">
      <c r="A258" s="325"/>
      <c r="B258" s="326"/>
      <c r="C258" s="35" t="s">
        <v>42</v>
      </c>
      <c r="D258" s="34">
        <f>D211+D188+D172+D151+D128+D106+D72+D44</f>
        <v>2852000</v>
      </c>
      <c r="E258" s="34">
        <f>E211+E188+E172+E151+E128+E106+E72+E44</f>
        <v>2852000</v>
      </c>
      <c r="F258" s="34">
        <f t="shared" ref="F258:K258" si="105">F211+F188+F172+F151+F128+F106+F72+F44</f>
        <v>37440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2889440</v>
      </c>
      <c r="K258" s="34">
        <f t="shared" si="105"/>
        <v>1092548</v>
      </c>
    </row>
    <row r="259" spans="1:11" x14ac:dyDescent="0.3">
      <c r="A259" s="325"/>
      <c r="B259" s="326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3">
      <c r="A260" s="325"/>
      <c r="B260" s="326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7">F212+F190+F173+F152+F129+F107+F74+F46</f>
        <v>-19348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1950219</v>
      </c>
    </row>
    <row r="261" spans="1:11" x14ac:dyDescent="0.3">
      <c r="A261" s="325"/>
      <c r="B261" s="326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259112</v>
      </c>
    </row>
    <row r="262" spans="1:11" x14ac:dyDescent="0.3">
      <c r="A262" s="325"/>
      <c r="B262" s="326"/>
      <c r="C262" s="63" t="s">
        <v>49</v>
      </c>
      <c r="D262" s="64">
        <f>D214+D192+D174+D153+D130+D108+D76+D48</f>
        <v>62319790</v>
      </c>
      <c r="E262" s="64">
        <f>E214+E192+E174+E153+E130+E108+E76+E48</f>
        <v>41331790</v>
      </c>
      <c r="F262" s="64">
        <f t="shared" ref="F262:K262" si="109">F214+F192+F174+F153+F130+F108+F76+F48</f>
        <v>6225450</v>
      </c>
      <c r="G262" s="64">
        <f t="shared" si="109"/>
        <v>0</v>
      </c>
      <c r="H262" s="64">
        <f t="shared" si="109"/>
        <v>0</v>
      </c>
      <c r="I262" s="64">
        <f t="shared" si="109"/>
        <v>20000</v>
      </c>
      <c r="J262" s="64">
        <f t="shared" si="109"/>
        <v>47577240</v>
      </c>
      <c r="K262" s="64">
        <f t="shared" si="109"/>
        <v>12664149</v>
      </c>
    </row>
    <row r="263" spans="1:11" x14ac:dyDescent="0.3">
      <c r="A263" s="325"/>
      <c r="B263" s="326"/>
      <c r="C263" s="63" t="s">
        <v>100</v>
      </c>
      <c r="D263" s="64">
        <f>D197</f>
        <v>0</v>
      </c>
      <c r="E263" s="64">
        <f t="shared" ref="E263:K263" si="110">E197</f>
        <v>10500000</v>
      </c>
      <c r="F263" s="64">
        <f t="shared" si="110"/>
        <v>0</v>
      </c>
      <c r="G263" s="64">
        <f t="shared" si="110"/>
        <v>0</v>
      </c>
      <c r="H263" s="64">
        <f t="shared" si="110"/>
        <v>0</v>
      </c>
      <c r="I263" s="64">
        <f t="shared" si="110"/>
        <v>0</v>
      </c>
      <c r="J263" s="64">
        <f t="shared" si="110"/>
        <v>10500000</v>
      </c>
      <c r="K263" s="64">
        <f t="shared" si="110"/>
        <v>10500000</v>
      </c>
    </row>
    <row r="264" spans="1:11" x14ac:dyDescent="0.3">
      <c r="A264" s="325"/>
      <c r="B264" s="326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3">
      <c r="A265" s="325"/>
      <c r="B265" s="326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3">
      <c r="A266" s="325"/>
      <c r="B266" s="326"/>
      <c r="C266" s="63" t="s">
        <v>52</v>
      </c>
      <c r="D266" s="66">
        <f t="shared" si="111"/>
        <v>204750</v>
      </c>
      <c r="E266" s="66">
        <f t="shared" si="111"/>
        <v>204750</v>
      </c>
      <c r="F266" s="66">
        <f t="shared" si="111"/>
        <v>0</v>
      </c>
      <c r="G266" s="66">
        <f t="shared" si="111"/>
        <v>0</v>
      </c>
      <c r="H266" s="66">
        <f t="shared" si="111"/>
        <v>0</v>
      </c>
      <c r="I266" s="66">
        <f t="shared" si="111"/>
        <v>0</v>
      </c>
      <c r="J266" s="66">
        <f t="shared" si="111"/>
        <v>204750</v>
      </c>
      <c r="K266" s="64">
        <f t="shared" si="111"/>
        <v>0</v>
      </c>
    </row>
    <row r="267" spans="1:11" x14ac:dyDescent="0.3">
      <c r="A267" s="327"/>
      <c r="B267" s="328"/>
      <c r="C267" s="67" t="s">
        <v>88</v>
      </c>
      <c r="D267" s="68">
        <f>D218</f>
        <v>230443641</v>
      </c>
      <c r="E267" s="68">
        <f>E218</f>
        <v>230521849</v>
      </c>
      <c r="F267" s="68">
        <f t="shared" ref="F267:K267" si="112">F218</f>
        <v>0</v>
      </c>
      <c r="G267" s="68">
        <f t="shared" si="112"/>
        <v>1233067</v>
      </c>
      <c r="H267" s="68">
        <f t="shared" si="112"/>
        <v>0</v>
      </c>
      <c r="I267" s="68">
        <f t="shared" si="112"/>
        <v>20000</v>
      </c>
      <c r="J267" s="68">
        <f t="shared" si="112"/>
        <v>231774916</v>
      </c>
      <c r="K267" s="68">
        <f t="shared" si="112"/>
        <v>129753488</v>
      </c>
    </row>
    <row r="268" spans="1:11" x14ac:dyDescent="0.3">
      <c r="B268" s="5"/>
      <c r="E268" s="4"/>
      <c r="F268" s="4"/>
      <c r="G268" s="4"/>
      <c r="H268" s="4"/>
      <c r="I268" s="4"/>
      <c r="J268" s="4"/>
      <c r="K268" s="107"/>
    </row>
    <row r="269" spans="1:11" x14ac:dyDescent="0.3">
      <c r="B269" s="5"/>
      <c r="E269" s="4"/>
      <c r="F269" s="4"/>
      <c r="G269" s="4"/>
      <c r="H269" s="4"/>
      <c r="I269" s="4"/>
      <c r="J269" s="4"/>
      <c r="K269" s="107"/>
    </row>
    <row r="270" spans="1:11" x14ac:dyDescent="0.3">
      <c r="A270" s="136" t="s">
        <v>125</v>
      </c>
      <c r="B270" s="136"/>
      <c r="C270" s="136"/>
      <c r="D270" s="136"/>
      <c r="E270" s="136"/>
      <c r="F270" s="136"/>
      <c r="K270"/>
    </row>
    <row r="271" spans="1:11" x14ac:dyDescent="0.3">
      <c r="A271" s="137"/>
      <c r="B271" s="137"/>
      <c r="C271" s="137"/>
      <c r="D271" s="138"/>
      <c r="E271" s="138"/>
      <c r="F271" s="139"/>
      <c r="K271"/>
    </row>
    <row r="272" spans="1:11" x14ac:dyDescent="0.3">
      <c r="A272" s="136" t="s">
        <v>126</v>
      </c>
      <c r="B272" s="136"/>
      <c r="C272" s="136"/>
      <c r="D272" s="136"/>
      <c r="E272" s="140"/>
      <c r="F272" s="139">
        <v>0</v>
      </c>
      <c r="K272"/>
    </row>
    <row r="273" spans="1:11" x14ac:dyDescent="0.3">
      <c r="A273" s="136" t="s">
        <v>127</v>
      </c>
      <c r="B273" s="136"/>
      <c r="C273" s="136"/>
      <c r="D273" s="136"/>
      <c r="E273" s="140"/>
      <c r="F273" s="139">
        <f>SUM(G7)</f>
        <v>3344000</v>
      </c>
      <c r="K273"/>
    </row>
    <row r="274" spans="1:11" x14ac:dyDescent="0.3">
      <c r="A274" s="136" t="s">
        <v>128</v>
      </c>
      <c r="B274" s="136"/>
      <c r="C274" s="136"/>
      <c r="D274" s="136"/>
      <c r="E274" s="140"/>
      <c r="F274" s="139">
        <f>SUM(G5)</f>
        <v>-2110933</v>
      </c>
      <c r="K274"/>
    </row>
    <row r="275" spans="1:11" x14ac:dyDescent="0.3">
      <c r="A275" s="368" t="s">
        <v>129</v>
      </c>
      <c r="B275" s="368"/>
      <c r="C275" s="368"/>
      <c r="D275" s="368"/>
      <c r="E275" s="140"/>
      <c r="F275" s="139">
        <v>0</v>
      </c>
      <c r="K275"/>
    </row>
    <row r="276" spans="1:11" x14ac:dyDescent="0.3">
      <c r="A276" s="368" t="s">
        <v>130</v>
      </c>
      <c r="B276" s="368"/>
      <c r="C276" s="368"/>
      <c r="D276" s="368"/>
      <c r="E276" s="140"/>
      <c r="F276" s="139">
        <f>SUM(H22)</f>
        <v>0</v>
      </c>
      <c r="K276"/>
    </row>
    <row r="277" spans="1:11" x14ac:dyDescent="0.3">
      <c r="A277" s="136" t="s">
        <v>131</v>
      </c>
      <c r="B277" s="136"/>
      <c r="C277" s="136"/>
      <c r="D277" s="136"/>
      <c r="E277" s="140"/>
      <c r="F277" s="139">
        <v>0</v>
      </c>
      <c r="K277"/>
    </row>
    <row r="278" spans="1:11" x14ac:dyDescent="0.3">
      <c r="A278" s="140" t="s">
        <v>132</v>
      </c>
      <c r="B278" s="140"/>
      <c r="C278" s="140"/>
      <c r="D278" s="140"/>
      <c r="E278" s="140"/>
      <c r="F278" s="139">
        <v>0</v>
      </c>
      <c r="K278"/>
    </row>
    <row r="279" spans="1:11" x14ac:dyDescent="0.3">
      <c r="A279" s="368" t="s">
        <v>133</v>
      </c>
      <c r="B279" s="368"/>
      <c r="C279" s="368"/>
      <c r="D279" s="368"/>
      <c r="E279" s="140"/>
      <c r="F279" s="139">
        <f>SUM(I9,I11,I13)</f>
        <v>20000</v>
      </c>
      <c r="K279"/>
    </row>
    <row r="280" spans="1:11" x14ac:dyDescent="0.3">
      <c r="A280" s="141" t="s">
        <v>134</v>
      </c>
      <c r="B280" s="141"/>
      <c r="C280" s="141"/>
      <c r="D280" s="141"/>
      <c r="E280" s="141"/>
      <c r="F280" s="142">
        <v>0</v>
      </c>
      <c r="K280"/>
    </row>
    <row r="281" spans="1:11" x14ac:dyDescent="0.3">
      <c r="A281" s="368" t="s">
        <v>135</v>
      </c>
      <c r="B281" s="368"/>
      <c r="C281" s="368"/>
      <c r="D281" s="368"/>
      <c r="E281" s="140"/>
      <c r="F281" s="139">
        <f>SUM(F272:F280)</f>
        <v>1253067</v>
      </c>
      <c r="K281"/>
    </row>
    <row r="282" spans="1:11" x14ac:dyDescent="0.3">
      <c r="A282" s="370"/>
      <c r="B282" s="370"/>
      <c r="C282" s="370"/>
      <c r="D282" s="370"/>
      <c r="E282" s="370"/>
      <c r="F282" s="370"/>
      <c r="K282"/>
    </row>
    <row r="283" spans="1:11" x14ac:dyDescent="0.3">
      <c r="A283" s="370"/>
      <c r="B283" s="370"/>
      <c r="C283" s="370"/>
      <c r="D283" s="370"/>
      <c r="E283" s="370"/>
      <c r="F283" s="370"/>
      <c r="K283"/>
    </row>
    <row r="284" spans="1:11" x14ac:dyDescent="0.3">
      <c r="A284" s="370"/>
      <c r="B284" s="370"/>
      <c r="C284" s="370"/>
      <c r="D284" s="370"/>
      <c r="E284" s="370"/>
      <c r="F284" s="370"/>
      <c r="K284"/>
    </row>
    <row r="285" spans="1:11" x14ac:dyDescent="0.3">
      <c r="A285" s="368" t="s">
        <v>136</v>
      </c>
      <c r="B285" s="368"/>
      <c r="C285" s="368"/>
      <c r="D285" s="368"/>
      <c r="E285" s="368"/>
      <c r="F285" s="368"/>
      <c r="K285"/>
    </row>
    <row r="286" spans="1:11" x14ac:dyDescent="0.3">
      <c r="A286" s="370"/>
      <c r="B286" s="370"/>
      <c r="C286" s="370"/>
      <c r="D286" s="370"/>
      <c r="E286" s="370"/>
      <c r="F286" s="370"/>
      <c r="K286"/>
    </row>
    <row r="287" spans="1:11" x14ac:dyDescent="0.3">
      <c r="A287" s="368" t="s">
        <v>137</v>
      </c>
      <c r="B287" s="368"/>
      <c r="C287" s="368"/>
      <c r="D287" s="368"/>
      <c r="E287" s="140"/>
      <c r="F287" s="139">
        <v>0</v>
      </c>
      <c r="K287"/>
    </row>
    <row r="288" spans="1:11" x14ac:dyDescent="0.3">
      <c r="A288" s="140" t="s">
        <v>138</v>
      </c>
      <c r="B288" s="140"/>
      <c r="C288" s="140"/>
      <c r="D288" s="140"/>
      <c r="E288" s="140"/>
      <c r="F288" s="139">
        <v>0</v>
      </c>
      <c r="K288"/>
    </row>
    <row r="289" spans="1:11" x14ac:dyDescent="0.3">
      <c r="A289" s="368" t="s">
        <v>139</v>
      </c>
      <c r="B289" s="368"/>
      <c r="C289" s="368"/>
      <c r="D289" s="368"/>
      <c r="E289" s="140"/>
      <c r="F289" s="139">
        <f>SUM(G89,G114,G136,G157)</f>
        <v>1031856</v>
      </c>
      <c r="K289"/>
    </row>
    <row r="290" spans="1:11" x14ac:dyDescent="0.3">
      <c r="A290" s="368" t="s">
        <v>140</v>
      </c>
      <c r="B290" s="368"/>
      <c r="C290" s="368"/>
      <c r="D290" s="368"/>
      <c r="E290" s="140"/>
      <c r="F290" s="139">
        <f>SUM(G97,G121,G144,G164)</f>
        <v>201211</v>
      </c>
      <c r="K290"/>
    </row>
    <row r="291" spans="1:11" x14ac:dyDescent="0.3">
      <c r="A291" s="368" t="s">
        <v>141</v>
      </c>
      <c r="B291" s="368"/>
      <c r="C291" s="368"/>
      <c r="D291" s="368"/>
      <c r="E291" s="140"/>
      <c r="F291" s="139">
        <f>SUM(I34,I41,I63,H187)</f>
        <v>20000</v>
      </c>
      <c r="K291"/>
    </row>
    <row r="292" spans="1:11" x14ac:dyDescent="0.3">
      <c r="A292" s="140" t="s">
        <v>142</v>
      </c>
      <c r="B292" s="140"/>
      <c r="C292" s="140"/>
      <c r="D292" s="140"/>
      <c r="E292" s="140"/>
      <c r="F292" s="139">
        <v>0</v>
      </c>
      <c r="K292"/>
    </row>
    <row r="293" spans="1:11" x14ac:dyDescent="0.3">
      <c r="A293" s="140" t="s">
        <v>143</v>
      </c>
      <c r="B293" s="140"/>
      <c r="C293" s="140"/>
      <c r="D293" s="140"/>
      <c r="E293" s="140"/>
      <c r="F293" s="139">
        <v>0</v>
      </c>
      <c r="K293"/>
    </row>
    <row r="294" spans="1:11" x14ac:dyDescent="0.3">
      <c r="A294" s="143" t="s">
        <v>144</v>
      </c>
      <c r="B294" s="143"/>
      <c r="C294" s="143"/>
      <c r="D294" s="144"/>
      <c r="E294" s="144"/>
      <c r="F294" s="145">
        <v>0</v>
      </c>
      <c r="K294"/>
    </row>
    <row r="295" spans="1:11" x14ac:dyDescent="0.3">
      <c r="A295" s="369" t="s">
        <v>135</v>
      </c>
      <c r="B295" s="369"/>
      <c r="C295" s="369"/>
      <c r="D295" s="369"/>
      <c r="E295" s="140"/>
      <c r="F295" s="139">
        <f>SUM(F287:F294)</f>
        <v>1253067</v>
      </c>
      <c r="K295"/>
    </row>
    <row r="296" spans="1:11" ht="33.75" customHeight="1" x14ac:dyDescent="0.3">
      <c r="A296" s="140"/>
      <c r="B296" s="136"/>
      <c r="C296" s="146"/>
      <c r="D296" s="138"/>
      <c r="E296" s="138"/>
      <c r="F296" s="139"/>
      <c r="K296"/>
    </row>
    <row r="297" spans="1:11" x14ac:dyDescent="0.3">
      <c r="A297" s="368" t="s">
        <v>145</v>
      </c>
      <c r="B297" s="368"/>
      <c r="C297" s="368"/>
      <c r="D297" s="368"/>
      <c r="E297" s="368"/>
      <c r="F297" s="368"/>
      <c r="K297"/>
    </row>
    <row r="298" spans="1:11" x14ac:dyDescent="0.3">
      <c r="A298" s="137"/>
      <c r="B298" s="137"/>
      <c r="C298" s="137"/>
      <c r="D298" s="138"/>
      <c r="E298" s="138"/>
      <c r="F298" s="139"/>
      <c r="K298"/>
    </row>
    <row r="299" spans="1:11" x14ac:dyDescent="0.3">
      <c r="A299" s="136" t="s">
        <v>126</v>
      </c>
      <c r="B299" s="136"/>
      <c r="C299" s="136"/>
      <c r="D299" s="136"/>
      <c r="E299" s="140"/>
      <c r="F299" s="139">
        <v>0</v>
      </c>
      <c r="K299"/>
    </row>
    <row r="300" spans="1:11" x14ac:dyDescent="0.3">
      <c r="A300" s="368" t="s">
        <v>127</v>
      </c>
      <c r="B300" s="368"/>
      <c r="C300" s="368"/>
      <c r="D300" s="368"/>
      <c r="E300" s="140"/>
      <c r="F300" s="139">
        <v>0</v>
      </c>
      <c r="K300"/>
    </row>
    <row r="301" spans="1:11" x14ac:dyDescent="0.3">
      <c r="A301" s="136" t="s">
        <v>128</v>
      </c>
      <c r="B301" s="140"/>
      <c r="C301" s="140"/>
      <c r="D301" s="140"/>
      <c r="E301" s="140"/>
      <c r="F301" s="139">
        <v>0</v>
      </c>
      <c r="K301"/>
    </row>
    <row r="302" spans="1:11" x14ac:dyDescent="0.3">
      <c r="A302" s="368" t="s">
        <v>129</v>
      </c>
      <c r="B302" s="368"/>
      <c r="C302" s="368"/>
      <c r="D302" s="368"/>
      <c r="E302" s="140"/>
      <c r="F302" s="139">
        <v>0</v>
      </c>
      <c r="K302"/>
    </row>
    <row r="303" spans="1:11" x14ac:dyDescent="0.3">
      <c r="A303" s="368" t="s">
        <v>146</v>
      </c>
      <c r="B303" s="368"/>
      <c r="C303" s="368"/>
      <c r="D303" s="368"/>
      <c r="E303" s="140"/>
      <c r="F303" s="139">
        <v>0</v>
      </c>
      <c r="K303"/>
    </row>
    <row r="304" spans="1:11" x14ac:dyDescent="0.3">
      <c r="A304" s="136" t="s">
        <v>147</v>
      </c>
      <c r="B304" s="136"/>
      <c r="C304" s="136"/>
      <c r="D304" s="136"/>
      <c r="E304" s="140"/>
      <c r="F304" s="139">
        <v>0</v>
      </c>
      <c r="K304"/>
    </row>
    <row r="305" spans="1:11" x14ac:dyDescent="0.3">
      <c r="A305" s="140" t="s">
        <v>132</v>
      </c>
      <c r="B305" s="140"/>
      <c r="C305" s="140"/>
      <c r="D305" s="140"/>
      <c r="E305" s="140"/>
      <c r="F305" s="139">
        <v>0</v>
      </c>
      <c r="K305"/>
    </row>
    <row r="306" spans="1:11" x14ac:dyDescent="0.3">
      <c r="A306" s="371" t="s">
        <v>133</v>
      </c>
      <c r="B306" s="371"/>
      <c r="C306" s="371"/>
      <c r="D306" s="371"/>
      <c r="E306" s="141"/>
      <c r="F306" s="142">
        <f>SUM(F9:F12)</f>
        <v>0</v>
      </c>
      <c r="K306"/>
    </row>
    <row r="307" spans="1:11" x14ac:dyDescent="0.3">
      <c r="A307" s="369" t="s">
        <v>135</v>
      </c>
      <c r="B307" s="369"/>
      <c r="C307" s="369"/>
      <c r="D307" s="369"/>
      <c r="E307" s="140"/>
      <c r="F307" s="139">
        <f>SUM(F299:F306)</f>
        <v>0</v>
      </c>
      <c r="K307"/>
    </row>
    <row r="308" spans="1:11" x14ac:dyDescent="0.3">
      <c r="A308" s="370"/>
      <c r="B308" s="370"/>
      <c r="C308" s="370"/>
      <c r="D308" s="370"/>
      <c r="E308" s="370"/>
      <c r="F308" s="370"/>
      <c r="K308"/>
    </row>
    <row r="309" spans="1:11" x14ac:dyDescent="0.3">
      <c r="A309" s="370"/>
      <c r="B309" s="370"/>
      <c r="C309" s="370"/>
      <c r="D309" s="370"/>
      <c r="E309" s="370"/>
      <c r="F309" s="370"/>
      <c r="K309"/>
    </row>
    <row r="310" spans="1:11" x14ac:dyDescent="0.3">
      <c r="A310" s="370"/>
      <c r="B310" s="370"/>
      <c r="C310" s="370"/>
      <c r="D310" s="370"/>
      <c r="E310" s="370"/>
      <c r="F310" s="370"/>
      <c r="K310"/>
    </row>
    <row r="311" spans="1:11" x14ac:dyDescent="0.3">
      <c r="A311" s="368" t="s">
        <v>148</v>
      </c>
      <c r="B311" s="368"/>
      <c r="C311" s="368"/>
      <c r="D311" s="368"/>
      <c r="E311" s="368"/>
      <c r="F311" s="368"/>
      <c r="K311"/>
    </row>
    <row r="312" spans="1:11" x14ac:dyDescent="0.3">
      <c r="A312" s="370"/>
      <c r="B312" s="370"/>
      <c r="C312" s="370"/>
      <c r="D312" s="370"/>
      <c r="E312" s="370"/>
      <c r="F312" s="370"/>
      <c r="K312"/>
    </row>
    <row r="313" spans="1:11" x14ac:dyDescent="0.3">
      <c r="A313" s="368" t="s">
        <v>137</v>
      </c>
      <c r="B313" s="368"/>
      <c r="C313" s="368"/>
      <c r="D313" s="368"/>
      <c r="E313" s="140"/>
      <c r="F313" s="139">
        <v>0</v>
      </c>
      <c r="K313"/>
    </row>
    <row r="314" spans="1:11" x14ac:dyDescent="0.3">
      <c r="A314" s="140" t="s">
        <v>138</v>
      </c>
      <c r="B314" s="140"/>
      <c r="C314" s="140"/>
      <c r="D314" s="140"/>
      <c r="E314" s="140"/>
      <c r="F314" s="139">
        <v>0</v>
      </c>
      <c r="K314"/>
    </row>
    <row r="315" spans="1:11" x14ac:dyDescent="0.3">
      <c r="A315" s="368" t="s">
        <v>139</v>
      </c>
      <c r="B315" s="368"/>
      <c r="C315" s="368"/>
      <c r="D315" s="368"/>
      <c r="E315" s="140"/>
      <c r="F315" s="139">
        <f>SUM(F32,F61,F96,F120,F143,F163,F182,F205)</f>
        <v>-10500000</v>
      </c>
      <c r="K315"/>
    </row>
    <row r="316" spans="1:11" x14ac:dyDescent="0.3">
      <c r="A316" s="368" t="s">
        <v>140</v>
      </c>
      <c r="B316" s="368"/>
      <c r="C316" s="368"/>
      <c r="D316" s="368"/>
      <c r="E316" s="140"/>
      <c r="F316" s="139">
        <f>SUM(F183)</f>
        <v>4274550</v>
      </c>
      <c r="K316"/>
    </row>
    <row r="317" spans="1:11" x14ac:dyDescent="0.3">
      <c r="A317" s="368" t="s">
        <v>141</v>
      </c>
      <c r="B317" s="368"/>
      <c r="C317" s="368"/>
      <c r="D317" s="368"/>
      <c r="E317" s="140"/>
      <c r="F317" s="139">
        <f>SUM(F48,F76,F108,F130,F153,F174,F192,F214)</f>
        <v>6225450</v>
      </c>
      <c r="K317"/>
    </row>
    <row r="318" spans="1:11" x14ac:dyDescent="0.3">
      <c r="A318" s="140" t="s">
        <v>149</v>
      </c>
      <c r="B318" s="140"/>
      <c r="C318" s="140"/>
      <c r="D318" s="140"/>
      <c r="E318" s="140"/>
      <c r="F318" s="139">
        <f>G195+G196</f>
        <v>0</v>
      </c>
      <c r="K318"/>
    </row>
    <row r="319" spans="1:11" x14ac:dyDescent="0.3">
      <c r="A319" s="140" t="s">
        <v>150</v>
      </c>
      <c r="B319" s="140"/>
      <c r="C319" s="140"/>
      <c r="D319" s="140"/>
      <c r="E319" s="140"/>
      <c r="F319" s="139">
        <f>G198+G200</f>
        <v>0</v>
      </c>
      <c r="K319"/>
    </row>
    <row r="320" spans="1:11" x14ac:dyDescent="0.3">
      <c r="A320" s="143" t="s">
        <v>144</v>
      </c>
      <c r="B320" s="143"/>
      <c r="C320" s="143"/>
      <c r="D320" s="144"/>
      <c r="E320" s="144"/>
      <c r="F320" s="145">
        <v>0</v>
      </c>
      <c r="K320"/>
    </row>
    <row r="321" spans="1:11" x14ac:dyDescent="0.3">
      <c r="A321" s="369" t="s">
        <v>135</v>
      </c>
      <c r="B321" s="369"/>
      <c r="C321" s="369"/>
      <c r="D321" s="369"/>
      <c r="E321" s="140"/>
      <c r="F321" s="139">
        <f>SUM(F313:F320)</f>
        <v>0</v>
      </c>
      <c r="K321"/>
    </row>
    <row r="322" spans="1:11" x14ac:dyDescent="0.3">
      <c r="A322" s="147"/>
      <c r="B322" s="148"/>
      <c r="C322" s="149"/>
      <c r="D322" s="150"/>
      <c r="E322" s="150"/>
      <c r="F322" s="151"/>
      <c r="K322"/>
    </row>
    <row r="323" spans="1:11" x14ac:dyDescent="0.3">
      <c r="A323" s="147"/>
      <c r="B323" s="148"/>
      <c r="C323" s="149"/>
      <c r="D323" s="150"/>
      <c r="E323" s="150"/>
      <c r="F323" s="151"/>
      <c r="K323"/>
    </row>
    <row r="324" spans="1:11" x14ac:dyDescent="0.3">
      <c r="A324" s="365" t="s">
        <v>151</v>
      </c>
      <c r="B324" s="365"/>
      <c r="C324" s="365"/>
      <c r="D324" s="365"/>
      <c r="E324" s="365"/>
      <c r="F324" s="365"/>
      <c r="K324"/>
    </row>
    <row r="325" spans="1:11" x14ac:dyDescent="0.3">
      <c r="A325" s="367"/>
      <c r="B325" s="367"/>
      <c r="C325" s="367"/>
      <c r="D325" s="367"/>
      <c r="E325" s="367"/>
      <c r="F325" s="367"/>
      <c r="K325"/>
    </row>
    <row r="326" spans="1:11" x14ac:dyDescent="0.3">
      <c r="A326" s="152"/>
      <c r="B326" s="152"/>
      <c r="C326" s="152"/>
      <c r="D326" s="153"/>
      <c r="E326" s="153"/>
      <c r="F326" s="154"/>
      <c r="K326"/>
    </row>
    <row r="327" spans="1:11" x14ac:dyDescent="0.3">
      <c r="A327" s="155" t="s">
        <v>126</v>
      </c>
      <c r="B327" s="156"/>
      <c r="C327" s="156"/>
      <c r="D327" s="156"/>
      <c r="E327" s="156"/>
      <c r="F327" s="154">
        <f>SUM(F272,F299)</f>
        <v>0</v>
      </c>
      <c r="K327"/>
    </row>
    <row r="328" spans="1:11" x14ac:dyDescent="0.3">
      <c r="A328" s="155" t="s">
        <v>127</v>
      </c>
      <c r="B328" s="156"/>
      <c r="C328" s="156"/>
      <c r="D328" s="156"/>
      <c r="E328" s="155"/>
      <c r="F328" s="154">
        <f>SUM(F273,F300)</f>
        <v>3344000</v>
      </c>
      <c r="K328"/>
    </row>
    <row r="329" spans="1:11" x14ac:dyDescent="0.3">
      <c r="A329" s="365" t="s">
        <v>152</v>
      </c>
      <c r="B329" s="365"/>
      <c r="C329" s="365"/>
      <c r="D329" s="365"/>
      <c r="E329" s="155"/>
      <c r="F329" s="154">
        <f>SUM(F274,F301)</f>
        <v>-2110933</v>
      </c>
      <c r="K329"/>
    </row>
    <row r="330" spans="1:11" x14ac:dyDescent="0.3">
      <c r="A330" s="365" t="s">
        <v>153</v>
      </c>
      <c r="B330" s="365"/>
      <c r="C330" s="365"/>
      <c r="D330" s="365"/>
      <c r="E330" s="155"/>
      <c r="F330" s="154">
        <f>F275+F302</f>
        <v>0</v>
      </c>
      <c r="K330"/>
    </row>
    <row r="331" spans="1:11" x14ac:dyDescent="0.3">
      <c r="A331" s="365" t="s">
        <v>154</v>
      </c>
      <c r="B331" s="365"/>
      <c r="C331" s="365"/>
      <c r="D331" s="365"/>
      <c r="E331" s="155"/>
      <c r="F331" s="154">
        <f>F276+F303</f>
        <v>0</v>
      </c>
      <c r="K331"/>
    </row>
    <row r="332" spans="1:11" x14ac:dyDescent="0.3">
      <c r="A332" s="156" t="s">
        <v>147</v>
      </c>
      <c r="B332" s="156"/>
      <c r="C332" s="156"/>
      <c r="D332" s="156"/>
      <c r="E332" s="155"/>
      <c r="F332" s="154">
        <f>SUM(F304,F277)</f>
        <v>0</v>
      </c>
      <c r="K332"/>
    </row>
    <row r="333" spans="1:11" x14ac:dyDescent="0.3">
      <c r="A333" s="155" t="s">
        <v>132</v>
      </c>
      <c r="B333" s="155"/>
      <c r="C333" s="155"/>
      <c r="D333" s="155"/>
      <c r="E333" s="155"/>
      <c r="F333" s="154">
        <f>F305+F278</f>
        <v>0</v>
      </c>
      <c r="K333"/>
    </row>
    <row r="334" spans="1:11" x14ac:dyDescent="0.3">
      <c r="A334" s="365" t="s">
        <v>133</v>
      </c>
      <c r="B334" s="365"/>
      <c r="C334" s="365"/>
      <c r="D334" s="365"/>
      <c r="E334" s="155"/>
      <c r="F334" s="154">
        <f>F306+F279</f>
        <v>20000</v>
      </c>
      <c r="K334"/>
    </row>
    <row r="335" spans="1:11" x14ac:dyDescent="0.3">
      <c r="A335" s="157" t="s">
        <v>134</v>
      </c>
      <c r="B335" s="157"/>
      <c r="C335" s="157"/>
      <c r="D335" s="157"/>
      <c r="E335" s="157"/>
      <c r="F335" s="158">
        <f>F280</f>
        <v>0</v>
      </c>
      <c r="K335"/>
    </row>
    <row r="336" spans="1:11" x14ac:dyDescent="0.3">
      <c r="A336" s="365" t="s">
        <v>135</v>
      </c>
      <c r="B336" s="365"/>
      <c r="C336" s="365"/>
      <c r="D336" s="365"/>
      <c r="E336" s="155"/>
      <c r="F336" s="154">
        <f>SUM(F327:F335)</f>
        <v>1253067</v>
      </c>
      <c r="K336"/>
    </row>
    <row r="337" spans="1:11" x14ac:dyDescent="0.3">
      <c r="A337" s="155"/>
      <c r="B337" s="155"/>
      <c r="C337" s="155"/>
      <c r="D337" s="155"/>
      <c r="E337" s="155"/>
      <c r="F337" s="154"/>
      <c r="K337"/>
    </row>
    <row r="338" spans="1:11" x14ac:dyDescent="0.3">
      <c r="A338" s="155"/>
      <c r="B338" s="155"/>
      <c r="C338" s="155"/>
      <c r="D338" s="155"/>
      <c r="E338" s="155"/>
      <c r="F338" s="154"/>
      <c r="K338"/>
    </row>
    <row r="339" spans="1:11" x14ac:dyDescent="0.3">
      <c r="A339" s="367"/>
      <c r="B339" s="367"/>
      <c r="C339" s="367"/>
      <c r="D339" s="367"/>
      <c r="E339" s="367"/>
      <c r="F339" s="367"/>
      <c r="K339"/>
    </row>
    <row r="340" spans="1:11" x14ac:dyDescent="0.3">
      <c r="A340" s="365" t="s">
        <v>155</v>
      </c>
      <c r="B340" s="365"/>
      <c r="C340" s="365"/>
      <c r="D340" s="365"/>
      <c r="E340" s="365"/>
      <c r="F340" s="365"/>
      <c r="K340"/>
    </row>
    <row r="341" spans="1:11" x14ac:dyDescent="0.3">
      <c r="A341" s="367"/>
      <c r="B341" s="367"/>
      <c r="C341" s="367"/>
      <c r="D341" s="367"/>
      <c r="E341" s="367"/>
      <c r="F341" s="367"/>
      <c r="K341"/>
    </row>
    <row r="342" spans="1:11" x14ac:dyDescent="0.3">
      <c r="A342" s="365" t="s">
        <v>137</v>
      </c>
      <c r="B342" s="365"/>
      <c r="C342" s="365"/>
      <c r="D342" s="365"/>
      <c r="E342" s="155"/>
      <c r="F342" s="154">
        <v>0</v>
      </c>
      <c r="K342"/>
    </row>
    <row r="343" spans="1:11" x14ac:dyDescent="0.3">
      <c r="A343" s="155" t="s">
        <v>138</v>
      </c>
      <c r="B343" s="155"/>
      <c r="C343" s="155"/>
      <c r="D343" s="155"/>
      <c r="E343" s="155"/>
      <c r="F343" s="154">
        <f>F314+F288</f>
        <v>0</v>
      </c>
      <c r="K343"/>
    </row>
    <row r="344" spans="1:11" x14ac:dyDescent="0.3">
      <c r="A344" s="365" t="s">
        <v>139</v>
      </c>
      <c r="B344" s="365"/>
      <c r="C344" s="365"/>
      <c r="D344" s="365"/>
      <c r="E344" s="155"/>
      <c r="F344" s="154">
        <f>F315+F289</f>
        <v>-9468144</v>
      </c>
      <c r="K344"/>
    </row>
    <row r="345" spans="1:11" x14ac:dyDescent="0.3">
      <c r="A345" s="365" t="s">
        <v>140</v>
      </c>
      <c r="B345" s="365"/>
      <c r="C345" s="365"/>
      <c r="D345" s="365"/>
      <c r="E345" s="155"/>
      <c r="F345" s="154">
        <f>F316+F290</f>
        <v>4475761</v>
      </c>
      <c r="K345"/>
    </row>
    <row r="346" spans="1:11" x14ac:dyDescent="0.3">
      <c r="A346" s="365" t="s">
        <v>141</v>
      </c>
      <c r="B346" s="365"/>
      <c r="C346" s="365"/>
      <c r="D346" s="365"/>
      <c r="E346" s="155"/>
      <c r="F346" s="154">
        <f>F317+F291</f>
        <v>6245450</v>
      </c>
      <c r="K346"/>
    </row>
    <row r="347" spans="1:11" x14ac:dyDescent="0.3">
      <c r="A347" s="155" t="s">
        <v>149</v>
      </c>
      <c r="B347" s="155"/>
      <c r="C347" s="155"/>
      <c r="D347" s="155"/>
      <c r="E347" s="155"/>
      <c r="F347" s="154">
        <f>SUM(F318,F292)</f>
        <v>0</v>
      </c>
      <c r="K347"/>
    </row>
    <row r="348" spans="1:11" x14ac:dyDescent="0.3">
      <c r="A348" s="155" t="s">
        <v>150</v>
      </c>
      <c r="B348" s="155"/>
      <c r="C348" s="155"/>
      <c r="D348" s="155"/>
      <c r="E348" s="155"/>
      <c r="F348" s="154">
        <f>SUM(F319)</f>
        <v>0</v>
      </c>
      <c r="K348"/>
    </row>
    <row r="349" spans="1:11" x14ac:dyDescent="0.3">
      <c r="A349" s="159" t="s">
        <v>144</v>
      </c>
      <c r="B349" s="159"/>
      <c r="C349" s="159"/>
      <c r="D349" s="160"/>
      <c r="E349" s="160"/>
      <c r="F349" s="161">
        <f>F320+F294</f>
        <v>0</v>
      </c>
      <c r="K349"/>
    </row>
    <row r="350" spans="1:11" x14ac:dyDescent="0.3">
      <c r="A350" s="366" t="s">
        <v>135</v>
      </c>
      <c r="B350" s="366"/>
      <c r="C350" s="366"/>
      <c r="D350" s="366"/>
      <c r="E350" s="155"/>
      <c r="F350" s="154">
        <f>SUM(F342:F349)</f>
        <v>1253067</v>
      </c>
      <c r="K350"/>
    </row>
  </sheetData>
  <autoFilter ref="A4:L218" xr:uid="{00000000-0009-0000-0000-000007000000}"/>
  <mergeCells count="115"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86:A87"/>
    <mergeCell ref="B86:B87"/>
    <mergeCell ref="A88:C88"/>
    <mergeCell ref="A89:A108"/>
    <mergeCell ref="B89:B108"/>
    <mergeCell ref="A109:A110"/>
    <mergeCell ref="B109:B110"/>
    <mergeCell ref="A80:A81"/>
    <mergeCell ref="B80:B81"/>
    <mergeCell ref="A82:A83"/>
    <mergeCell ref="B82:B83"/>
    <mergeCell ref="A84:A85"/>
    <mergeCell ref="B84:B85"/>
    <mergeCell ref="A133:A134"/>
    <mergeCell ref="B133:B134"/>
    <mergeCell ref="A135:C135"/>
    <mergeCell ref="A136:A153"/>
    <mergeCell ref="B136:B153"/>
    <mergeCell ref="A154:A155"/>
    <mergeCell ref="B154:B155"/>
    <mergeCell ref="A111:A112"/>
    <mergeCell ref="B111:B112"/>
    <mergeCell ref="A113:C113"/>
    <mergeCell ref="A114:A130"/>
    <mergeCell ref="B114:B130"/>
    <mergeCell ref="A131:A132"/>
    <mergeCell ref="B131:B132"/>
    <mergeCell ref="A179:C179"/>
    <mergeCell ref="A180:A197"/>
    <mergeCell ref="B180:B197"/>
    <mergeCell ref="A198:C198"/>
    <mergeCell ref="A199:A214"/>
    <mergeCell ref="B199:B214"/>
    <mergeCell ref="A156:C156"/>
    <mergeCell ref="A157:A174"/>
    <mergeCell ref="B157:B174"/>
    <mergeCell ref="A175:A176"/>
    <mergeCell ref="B175:B176"/>
    <mergeCell ref="A177:A178"/>
    <mergeCell ref="B177:B178"/>
    <mergeCell ref="A275:D275"/>
    <mergeCell ref="A276:D276"/>
    <mergeCell ref="A279:D279"/>
    <mergeCell ref="A281:D281"/>
    <mergeCell ref="A282:F284"/>
    <mergeCell ref="A285:F285"/>
    <mergeCell ref="A215:A216"/>
    <mergeCell ref="B215:B216"/>
    <mergeCell ref="A217:C217"/>
    <mergeCell ref="A218:C218"/>
    <mergeCell ref="A225:K225"/>
    <mergeCell ref="A226:B267"/>
    <mergeCell ref="A297:F297"/>
    <mergeCell ref="A300:D300"/>
    <mergeCell ref="A302:D302"/>
    <mergeCell ref="A303:D303"/>
    <mergeCell ref="A306:D306"/>
    <mergeCell ref="A307:D307"/>
    <mergeCell ref="A286:F286"/>
    <mergeCell ref="A287:D287"/>
    <mergeCell ref="A289:D289"/>
    <mergeCell ref="A290:D290"/>
    <mergeCell ref="A291:D291"/>
    <mergeCell ref="A295:D295"/>
    <mergeCell ref="A317:D317"/>
    <mergeCell ref="A321:D321"/>
    <mergeCell ref="A324:F324"/>
    <mergeCell ref="A325:F325"/>
    <mergeCell ref="A329:D329"/>
    <mergeCell ref="A330:D330"/>
    <mergeCell ref="A308:F310"/>
    <mergeCell ref="A311:F311"/>
    <mergeCell ref="A312:F312"/>
    <mergeCell ref="A313:D313"/>
    <mergeCell ref="A315:D315"/>
    <mergeCell ref="A316:D316"/>
    <mergeCell ref="A342:D342"/>
    <mergeCell ref="A344:D344"/>
    <mergeCell ref="A345:D345"/>
    <mergeCell ref="A346:D346"/>
    <mergeCell ref="A350:D350"/>
    <mergeCell ref="A331:D331"/>
    <mergeCell ref="A334:D334"/>
    <mergeCell ref="A336:D336"/>
    <mergeCell ref="A339:F339"/>
    <mergeCell ref="A340:F340"/>
    <mergeCell ref="A341:F341"/>
  </mergeCells>
  <pageMargins left="0.7" right="0.7" top="0.75" bottom="0.75" header="0.3" footer="0.3"/>
  <pageSetup paperSize="9" scale="50" orientation="portrait" r:id="rId1"/>
  <rowBreaks count="3" manualBreakCount="3">
    <brk id="88" max="16383" man="1"/>
    <brk id="179" max="16383" man="1"/>
    <brk id="267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69"/>
  <sheetViews>
    <sheetView workbookViewId="0">
      <pane xSplit="3" ySplit="4" topLeftCell="D243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4.4" x14ac:dyDescent="0.3"/>
  <cols>
    <col min="1" max="1" width="42.6640625" customWidth="1"/>
    <col min="3" max="3" width="7.6640625" customWidth="1"/>
    <col min="4" max="5" width="13.6640625" customWidth="1"/>
    <col min="6" max="6" width="10.33203125" customWidth="1"/>
    <col min="7" max="7" width="11.6640625" customWidth="1"/>
    <col min="8" max="9" width="10.33203125" bestFit="1" customWidth="1"/>
    <col min="10" max="10" width="13.88671875" bestFit="1" customWidth="1"/>
    <col min="11" max="11" width="16.44140625" style="118" customWidth="1"/>
    <col min="12" max="12" width="13.88671875" customWidth="1"/>
  </cols>
  <sheetData>
    <row r="1" spans="1:12" ht="21" x14ac:dyDescent="0.3">
      <c r="A1" s="364" t="s">
        <v>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</row>
    <row r="2" spans="1:12" x14ac:dyDescent="0.3">
      <c r="B2" s="5"/>
      <c r="E2" s="4"/>
      <c r="F2" s="4"/>
      <c r="G2" s="4"/>
      <c r="H2" s="4"/>
      <c r="I2" s="4"/>
      <c r="J2" s="4"/>
      <c r="K2" s="107"/>
    </row>
    <row r="3" spans="1:12" ht="15" customHeight="1" x14ac:dyDescent="0.3">
      <c r="A3" s="353" t="s">
        <v>104</v>
      </c>
      <c r="B3" s="355" t="s">
        <v>105</v>
      </c>
      <c r="C3" s="353" t="s">
        <v>3</v>
      </c>
      <c r="D3" s="353" t="s">
        <v>4</v>
      </c>
      <c r="E3" s="357" t="s">
        <v>115</v>
      </c>
      <c r="F3" s="359" t="s">
        <v>156</v>
      </c>
      <c r="G3" s="360"/>
      <c r="H3" s="360"/>
      <c r="I3" s="361"/>
      <c r="J3" s="357" t="s">
        <v>119</v>
      </c>
      <c r="K3" s="362" t="s">
        <v>157</v>
      </c>
      <c r="L3" s="363" t="s">
        <v>158</v>
      </c>
    </row>
    <row r="4" spans="1:12" ht="40.799999999999997" x14ac:dyDescent="0.3">
      <c r="A4" s="354"/>
      <c r="B4" s="356"/>
      <c r="C4" s="354"/>
      <c r="D4" s="354"/>
      <c r="E4" s="358"/>
      <c r="F4" s="120" t="s">
        <v>70</v>
      </c>
      <c r="G4" s="121" t="s">
        <v>123</v>
      </c>
      <c r="H4" s="121" t="s">
        <v>122</v>
      </c>
      <c r="I4" s="121" t="s">
        <v>71</v>
      </c>
      <c r="J4" s="358"/>
      <c r="K4" s="362"/>
      <c r="L4" s="363"/>
    </row>
    <row r="5" spans="1:12" x14ac:dyDescent="0.3">
      <c r="A5" s="262" t="s">
        <v>6</v>
      </c>
      <c r="B5" s="261" t="s">
        <v>21</v>
      </c>
      <c r="C5" s="2" t="s">
        <v>16</v>
      </c>
      <c r="D5" s="3">
        <v>54810810</v>
      </c>
      <c r="E5" s="3">
        <v>54848819</v>
      </c>
      <c r="F5" s="3"/>
      <c r="G5" s="3">
        <v>-2110933</v>
      </c>
      <c r="H5" s="3"/>
      <c r="I5" s="3"/>
      <c r="J5" s="20">
        <f>E5+F5+G5+H5+I5</f>
        <v>52737886</v>
      </c>
      <c r="K5" s="108">
        <v>36827937</v>
      </c>
      <c r="L5" s="3">
        <f>J5-K5</f>
        <v>15909949</v>
      </c>
    </row>
    <row r="6" spans="1:12" x14ac:dyDescent="0.3">
      <c r="A6" s="285"/>
      <c r="B6" s="261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08">
        <v>7273070</v>
      </c>
      <c r="L6" s="3">
        <f t="shared" ref="L6:L23" si="1">J6-K6</f>
        <v>0</v>
      </c>
    </row>
    <row r="7" spans="1:12" x14ac:dyDescent="0.3">
      <c r="A7" s="285"/>
      <c r="B7" s="261"/>
      <c r="C7" s="2" t="s">
        <v>18</v>
      </c>
      <c r="D7" s="3">
        <v>96985672</v>
      </c>
      <c r="E7" s="3">
        <v>96985672</v>
      </c>
      <c r="F7" s="3"/>
      <c r="G7" s="3">
        <v>3344000</v>
      </c>
      <c r="H7" s="3"/>
      <c r="I7" s="3"/>
      <c r="J7" s="20">
        <f t="shared" si="0"/>
        <v>100329672</v>
      </c>
      <c r="K7" s="108">
        <v>69204503</v>
      </c>
      <c r="L7" s="3">
        <f t="shared" si="1"/>
        <v>31125169</v>
      </c>
    </row>
    <row r="8" spans="1:12" x14ac:dyDescent="0.3">
      <c r="A8" s="285"/>
      <c r="B8" s="264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08">
        <v>0</v>
      </c>
      <c r="L8" s="3">
        <f t="shared" si="1"/>
        <v>200000</v>
      </c>
    </row>
    <row r="9" spans="1:12" x14ac:dyDescent="0.3">
      <c r="A9" s="285"/>
      <c r="B9" s="268"/>
      <c r="C9" s="2" t="s">
        <v>19</v>
      </c>
      <c r="D9" s="3">
        <v>13200</v>
      </c>
      <c r="E9" s="3">
        <v>21926</v>
      </c>
      <c r="F9" s="3"/>
      <c r="G9" s="3"/>
      <c r="H9" s="3">
        <v>10000</v>
      </c>
      <c r="I9" s="3"/>
      <c r="J9" s="20">
        <f t="shared" si="0"/>
        <v>31926</v>
      </c>
      <c r="K9" s="108">
        <v>21926</v>
      </c>
      <c r="L9" s="3">
        <f t="shared" si="1"/>
        <v>10000</v>
      </c>
    </row>
    <row r="10" spans="1:12" x14ac:dyDescent="0.3">
      <c r="A10" s="285"/>
      <c r="B10" s="268"/>
      <c r="C10" s="2" t="s">
        <v>20</v>
      </c>
      <c r="D10" s="3">
        <v>500</v>
      </c>
      <c r="E10" s="3">
        <v>152</v>
      </c>
      <c r="F10" s="3">
        <v>1000</v>
      </c>
      <c r="G10" s="3"/>
      <c r="H10" s="3"/>
      <c r="I10" s="3"/>
      <c r="J10" s="20">
        <f t="shared" si="0"/>
        <v>1152</v>
      </c>
      <c r="K10" s="108">
        <v>157</v>
      </c>
      <c r="L10" s="3">
        <f t="shared" si="1"/>
        <v>995</v>
      </c>
    </row>
    <row r="11" spans="1:12" x14ac:dyDescent="0.3">
      <c r="A11" s="285"/>
      <c r="B11" s="265"/>
      <c r="C11" s="2" t="s">
        <v>84</v>
      </c>
      <c r="D11" s="3">
        <v>0</v>
      </c>
      <c r="E11" s="3">
        <v>3948</v>
      </c>
      <c r="F11" s="3">
        <v>-1000</v>
      </c>
      <c r="G11" s="3"/>
      <c r="H11" s="3">
        <v>10000</v>
      </c>
      <c r="I11" s="3"/>
      <c r="J11" s="20">
        <f t="shared" si="0"/>
        <v>12948</v>
      </c>
      <c r="K11" s="108">
        <v>3834</v>
      </c>
      <c r="L11" s="3">
        <f t="shared" si="1"/>
        <v>9114</v>
      </c>
    </row>
    <row r="12" spans="1:12" x14ac:dyDescent="0.3">
      <c r="A12" s="285"/>
      <c r="B12" s="264">
        <v>104043</v>
      </c>
      <c r="C12" s="2" t="s">
        <v>20</v>
      </c>
      <c r="D12" s="3">
        <v>500</v>
      </c>
      <c r="E12" s="3">
        <v>173</v>
      </c>
      <c r="F12" s="3"/>
      <c r="G12" s="3"/>
      <c r="H12" s="3"/>
      <c r="I12" s="3"/>
      <c r="J12" s="20">
        <f t="shared" si="0"/>
        <v>173</v>
      </c>
      <c r="K12" s="108">
        <v>157</v>
      </c>
      <c r="L12" s="3">
        <f t="shared" si="1"/>
        <v>16</v>
      </c>
    </row>
    <row r="13" spans="1:12" x14ac:dyDescent="0.3">
      <c r="A13" s="263"/>
      <c r="B13" s="265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08">
        <v>1</v>
      </c>
      <c r="L13" s="3">
        <f t="shared" si="1"/>
        <v>0</v>
      </c>
    </row>
    <row r="14" spans="1:12" x14ac:dyDescent="0.3">
      <c r="A14" s="254" t="s">
        <v>7</v>
      </c>
      <c r="B14" s="261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08">
        <v>122992</v>
      </c>
      <c r="L14" s="3">
        <f t="shared" si="1"/>
        <v>122990</v>
      </c>
    </row>
    <row r="15" spans="1:12" x14ac:dyDescent="0.3">
      <c r="A15" s="254"/>
      <c r="B15" s="261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08">
        <v>1005557</v>
      </c>
      <c r="L15" s="3">
        <f t="shared" si="1"/>
        <v>0</v>
      </c>
    </row>
    <row r="16" spans="1:12" x14ac:dyDescent="0.3">
      <c r="A16" s="254" t="s">
        <v>8</v>
      </c>
      <c r="B16" s="261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08">
        <v>1560228</v>
      </c>
      <c r="L16" s="3">
        <f t="shared" si="1"/>
        <v>1543476</v>
      </c>
    </row>
    <row r="17" spans="1:12" x14ac:dyDescent="0.3">
      <c r="A17" s="254"/>
      <c r="B17" s="261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08">
        <v>440959</v>
      </c>
      <c r="L17" s="3">
        <f t="shared" si="1"/>
        <v>0</v>
      </c>
    </row>
    <row r="18" spans="1:12" x14ac:dyDescent="0.3">
      <c r="A18" s="254" t="s">
        <v>9</v>
      </c>
      <c r="B18" s="261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08">
        <v>780469</v>
      </c>
      <c r="L18" s="3">
        <f t="shared" si="1"/>
        <v>634418</v>
      </c>
    </row>
    <row r="19" spans="1:12" x14ac:dyDescent="0.3">
      <c r="A19" s="254"/>
      <c r="B19" s="261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08">
        <v>599759</v>
      </c>
      <c r="L19" s="3">
        <f t="shared" si="1"/>
        <v>0</v>
      </c>
    </row>
    <row r="20" spans="1:12" x14ac:dyDescent="0.3">
      <c r="A20" s="262" t="s">
        <v>54</v>
      </c>
      <c r="B20" s="264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08">
        <v>2028192</v>
      </c>
      <c r="L20" s="3">
        <f t="shared" si="1"/>
        <v>2028191</v>
      </c>
    </row>
    <row r="21" spans="1:12" x14ac:dyDescent="0.3">
      <c r="A21" s="263"/>
      <c r="B21" s="265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08">
        <v>226299</v>
      </c>
      <c r="L21" s="3">
        <f t="shared" si="1"/>
        <v>0</v>
      </c>
    </row>
    <row r="22" spans="1:12" x14ac:dyDescent="0.3">
      <c r="A22" s="254" t="s">
        <v>10</v>
      </c>
      <c r="B22" s="261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08">
        <v>20202943</v>
      </c>
      <c r="L22" s="3">
        <f t="shared" si="1"/>
        <v>33424449</v>
      </c>
    </row>
    <row r="23" spans="1:12" x14ac:dyDescent="0.3">
      <c r="A23" s="254"/>
      <c r="B23" s="261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08">
        <v>6467166</v>
      </c>
      <c r="L23" s="3">
        <f t="shared" si="1"/>
        <v>0</v>
      </c>
    </row>
    <row r="24" spans="1:12" ht="30" customHeight="1" x14ac:dyDescent="0.3">
      <c r="A24" s="346" t="s">
        <v>73</v>
      </c>
      <c r="B24" s="347"/>
      <c r="C24" s="348"/>
      <c r="D24" s="122">
        <f t="shared" ref="D24:L24" si="2">SUM(D5:D23)</f>
        <v>230443641</v>
      </c>
      <c r="E24" s="122">
        <f t="shared" si="2"/>
        <v>230521849</v>
      </c>
      <c r="F24" s="122">
        <f t="shared" si="2"/>
        <v>0</v>
      </c>
      <c r="G24" s="122">
        <f t="shared" si="2"/>
        <v>1233067</v>
      </c>
      <c r="H24" s="122">
        <f t="shared" si="2"/>
        <v>20000</v>
      </c>
      <c r="I24" s="122">
        <f t="shared" si="2"/>
        <v>0</v>
      </c>
      <c r="J24" s="122">
        <f t="shared" si="2"/>
        <v>231774916</v>
      </c>
      <c r="K24" s="123">
        <f t="shared" si="2"/>
        <v>146766149</v>
      </c>
      <c r="L24" s="122">
        <f t="shared" si="2"/>
        <v>85008767</v>
      </c>
    </row>
    <row r="25" spans="1:12" x14ac:dyDescent="0.3">
      <c r="A25" s="254" t="s">
        <v>11</v>
      </c>
      <c r="B25" s="264" t="s">
        <v>23</v>
      </c>
      <c r="C25" s="2" t="s">
        <v>24</v>
      </c>
      <c r="D25" s="3">
        <v>35883092</v>
      </c>
      <c r="E25" s="3">
        <v>35538980</v>
      </c>
      <c r="F25" s="3">
        <f>-100000</f>
        <v>-100000</v>
      </c>
      <c r="G25" s="3"/>
      <c r="H25" s="3"/>
      <c r="I25" s="3"/>
      <c r="J25" s="20">
        <f t="shared" ref="J25:J31" si="3">E25+F25+G25+H25+I25</f>
        <v>35438980</v>
      </c>
      <c r="K25" s="108">
        <v>24301548</v>
      </c>
      <c r="L25" s="3">
        <f t="shared" ref="L25:L31" si="4">J25-K25</f>
        <v>11137432</v>
      </c>
    </row>
    <row r="26" spans="1:12" x14ac:dyDescent="0.3">
      <c r="A26" s="254"/>
      <c r="B26" s="268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08">
        <v>725000</v>
      </c>
      <c r="L26" s="3">
        <f t="shared" si="4"/>
        <v>817000</v>
      </c>
    </row>
    <row r="27" spans="1:12" x14ac:dyDescent="0.3">
      <c r="A27" s="254"/>
      <c r="B27" s="268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08">
        <v>0</v>
      </c>
      <c r="L27" s="3">
        <f t="shared" si="4"/>
        <v>80000</v>
      </c>
    </row>
    <row r="28" spans="1:12" x14ac:dyDescent="0.3">
      <c r="A28" s="254"/>
      <c r="B28" s="268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08">
        <v>515596</v>
      </c>
      <c r="L28" s="3">
        <f t="shared" si="4"/>
        <v>371990</v>
      </c>
    </row>
    <row r="29" spans="1:12" x14ac:dyDescent="0.3">
      <c r="A29" s="254"/>
      <c r="B29" s="268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08">
        <v>93000</v>
      </c>
      <c r="L29" s="3">
        <f t="shared" si="4"/>
        <v>97000</v>
      </c>
    </row>
    <row r="30" spans="1:12" x14ac:dyDescent="0.3">
      <c r="A30" s="254"/>
      <c r="B30" s="268"/>
      <c r="C30" s="2" t="s">
        <v>29</v>
      </c>
      <c r="D30" s="3">
        <v>1086500</v>
      </c>
      <c r="E30" s="3">
        <v>1384179</v>
      </c>
      <c r="F30" s="3">
        <f>100000</f>
        <v>100000</v>
      </c>
      <c r="G30" s="3"/>
      <c r="H30" s="3"/>
      <c r="I30" s="3"/>
      <c r="J30" s="20">
        <f t="shared" si="3"/>
        <v>1484179</v>
      </c>
      <c r="K30" s="108">
        <v>565314</v>
      </c>
      <c r="L30" s="3">
        <f t="shared" si="4"/>
        <v>918865</v>
      </c>
    </row>
    <row r="31" spans="1:12" x14ac:dyDescent="0.3">
      <c r="A31" s="254"/>
      <c r="B31" s="268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08">
        <v>13902</v>
      </c>
      <c r="L31" s="3">
        <f t="shared" si="4"/>
        <v>86098</v>
      </c>
    </row>
    <row r="32" spans="1:12" x14ac:dyDescent="0.3">
      <c r="A32" s="254"/>
      <c r="B32" s="268"/>
      <c r="C32" s="6" t="s">
        <v>53</v>
      </c>
      <c r="D32" s="7">
        <f>SUM(D25:D31)</f>
        <v>39774992</v>
      </c>
      <c r="E32" s="7">
        <f t="shared" ref="E32:L32" si="5">SUM(E25:E31)</f>
        <v>39722745</v>
      </c>
      <c r="F32" s="7">
        <f t="shared" si="5"/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0">
        <f t="shared" si="5"/>
        <v>26214360</v>
      </c>
      <c r="L32" s="7">
        <f t="shared" si="5"/>
        <v>13508385</v>
      </c>
    </row>
    <row r="33" spans="1:12" x14ac:dyDescent="0.3">
      <c r="A33" s="254"/>
      <c r="B33" s="268"/>
      <c r="C33" s="82" t="s">
        <v>31</v>
      </c>
      <c r="D33" s="83">
        <v>7793417</v>
      </c>
      <c r="E33" s="83">
        <v>7795732</v>
      </c>
      <c r="F33" s="83"/>
      <c r="G33" s="83"/>
      <c r="H33" s="83"/>
      <c r="I33" s="83"/>
      <c r="J33" s="84">
        <f t="shared" ref="J33:J47" si="6">E33+F33+G33+H33+I33</f>
        <v>7795732</v>
      </c>
      <c r="K33" s="111">
        <v>5285695</v>
      </c>
      <c r="L33" s="85">
        <f t="shared" ref="L33:L47" si="7">J33-K33</f>
        <v>2510037</v>
      </c>
    </row>
    <row r="34" spans="1:12" x14ac:dyDescent="0.3">
      <c r="A34" s="254"/>
      <c r="B34" s="268"/>
      <c r="C34" s="2" t="s">
        <v>32</v>
      </c>
      <c r="D34" s="3">
        <v>105000</v>
      </c>
      <c r="E34" s="3">
        <v>105000</v>
      </c>
      <c r="F34" s="3"/>
      <c r="G34" s="3"/>
      <c r="H34" s="3">
        <v>10000</v>
      </c>
      <c r="I34" s="3"/>
      <c r="J34" s="20">
        <f t="shared" si="6"/>
        <v>115000</v>
      </c>
      <c r="K34" s="108">
        <v>30568</v>
      </c>
      <c r="L34" s="3">
        <f t="shared" si="7"/>
        <v>84432</v>
      </c>
    </row>
    <row r="35" spans="1:12" x14ac:dyDescent="0.3">
      <c r="A35" s="254"/>
      <c r="B35" s="268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08">
        <v>1922</v>
      </c>
      <c r="L35" s="3">
        <f t="shared" si="7"/>
        <v>498078</v>
      </c>
    </row>
    <row r="36" spans="1:12" x14ac:dyDescent="0.3">
      <c r="A36" s="254"/>
      <c r="B36" s="268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08">
        <v>89492</v>
      </c>
      <c r="L36" s="3">
        <f t="shared" si="7"/>
        <v>123508</v>
      </c>
    </row>
    <row r="37" spans="1:12" x14ac:dyDescent="0.3">
      <c r="A37" s="254"/>
      <c r="B37" s="268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08">
        <v>51013</v>
      </c>
      <c r="L37" s="3">
        <f t="shared" si="7"/>
        <v>110987</v>
      </c>
    </row>
    <row r="38" spans="1:12" x14ac:dyDescent="0.3">
      <c r="A38" s="254"/>
      <c r="B38" s="268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08">
        <v>385613</v>
      </c>
      <c r="L38" s="3">
        <f t="shared" si="7"/>
        <v>183927</v>
      </c>
    </row>
    <row r="39" spans="1:12" x14ac:dyDescent="0.3">
      <c r="A39" s="254"/>
      <c r="B39" s="268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08">
        <v>0</v>
      </c>
      <c r="L39" s="3">
        <f t="shared" si="7"/>
        <v>3000</v>
      </c>
    </row>
    <row r="40" spans="1:12" x14ac:dyDescent="0.3">
      <c r="A40" s="254"/>
      <c r="B40" s="268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08">
        <v>189040</v>
      </c>
      <c r="L40" s="3">
        <f t="shared" si="7"/>
        <v>267460</v>
      </c>
    </row>
    <row r="41" spans="1:12" x14ac:dyDescent="0.3">
      <c r="A41" s="254"/>
      <c r="B41" s="268"/>
      <c r="C41" s="2" t="s">
        <v>39</v>
      </c>
      <c r="D41" s="3">
        <v>13200</v>
      </c>
      <c r="E41" s="3">
        <v>21926</v>
      </c>
      <c r="F41" s="3"/>
      <c r="G41" s="3"/>
      <c r="H41" s="3">
        <v>10000</v>
      </c>
      <c r="I41" s="3"/>
      <c r="J41" s="20">
        <f t="shared" si="6"/>
        <v>31926</v>
      </c>
      <c r="K41" s="108">
        <v>22999</v>
      </c>
      <c r="L41" s="3">
        <f t="shared" si="7"/>
        <v>8927</v>
      </c>
    </row>
    <row r="42" spans="1:12" x14ac:dyDescent="0.3">
      <c r="A42" s="254"/>
      <c r="B42" s="268"/>
      <c r="C42" s="2" t="s">
        <v>40</v>
      </c>
      <c r="D42" s="3">
        <v>137800</v>
      </c>
      <c r="E42" s="3">
        <v>137800</v>
      </c>
      <c r="F42" s="3">
        <v>-75000</v>
      </c>
      <c r="G42" s="3"/>
      <c r="H42" s="3"/>
      <c r="I42" s="3"/>
      <c r="J42" s="20">
        <f t="shared" si="6"/>
        <v>62800</v>
      </c>
      <c r="K42" s="108">
        <v>53500</v>
      </c>
      <c r="L42" s="3">
        <f t="shared" si="7"/>
        <v>9300</v>
      </c>
    </row>
    <row r="43" spans="1:12" x14ac:dyDescent="0.3">
      <c r="A43" s="254"/>
      <c r="B43" s="268"/>
      <c r="C43" s="2" t="s">
        <v>41</v>
      </c>
      <c r="D43" s="3">
        <v>582236</v>
      </c>
      <c r="E43" s="3">
        <v>578510</v>
      </c>
      <c r="F43" s="3"/>
      <c r="G43" s="3"/>
      <c r="H43" s="3"/>
      <c r="I43" s="3"/>
      <c r="J43" s="20">
        <f t="shared" si="6"/>
        <v>578510</v>
      </c>
      <c r="K43" s="108">
        <v>474495</v>
      </c>
      <c r="L43" s="3">
        <f t="shared" si="7"/>
        <v>104015</v>
      </c>
    </row>
    <row r="44" spans="1:12" x14ac:dyDescent="0.3">
      <c r="A44" s="254"/>
      <c r="B44" s="268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08">
        <v>276385</v>
      </c>
      <c r="L44" s="3">
        <f t="shared" si="7"/>
        <v>257660</v>
      </c>
    </row>
    <row r="45" spans="1:12" x14ac:dyDescent="0.3">
      <c r="A45" s="254"/>
      <c r="B45" s="268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08">
        <v>0</v>
      </c>
      <c r="L45" s="3">
        <f t="shared" si="7"/>
        <v>30000</v>
      </c>
    </row>
    <row r="46" spans="1:12" x14ac:dyDescent="0.3">
      <c r="A46" s="254"/>
      <c r="B46" s="268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08">
        <v>130354</v>
      </c>
      <c r="L46" s="3">
        <f t="shared" si="7"/>
        <v>88081</v>
      </c>
    </row>
    <row r="47" spans="1:12" x14ac:dyDescent="0.3">
      <c r="A47" s="254"/>
      <c r="B47" s="268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08">
        <v>48843</v>
      </c>
      <c r="L47" s="3">
        <f t="shared" si="7"/>
        <v>26921</v>
      </c>
    </row>
    <row r="48" spans="1:12" x14ac:dyDescent="0.3">
      <c r="A48" s="254"/>
      <c r="B48" s="268"/>
      <c r="C48" s="6" t="s">
        <v>49</v>
      </c>
      <c r="D48" s="7">
        <f>SUM(D34:D47)</f>
        <v>3863610</v>
      </c>
      <c r="E48" s="7">
        <f t="shared" ref="E48:L48" si="8">SUM(E34:E47)</f>
        <v>3605520</v>
      </c>
      <c r="F48" s="7">
        <f t="shared" si="8"/>
        <v>-75000</v>
      </c>
      <c r="G48" s="7">
        <f t="shared" si="8"/>
        <v>0</v>
      </c>
      <c r="H48" s="7">
        <f t="shared" si="8"/>
        <v>20000</v>
      </c>
      <c r="I48" s="7">
        <f t="shared" si="8"/>
        <v>0</v>
      </c>
      <c r="J48" s="7">
        <f t="shared" si="8"/>
        <v>3550520</v>
      </c>
      <c r="K48" s="110">
        <f t="shared" si="8"/>
        <v>1754224</v>
      </c>
      <c r="L48" s="7">
        <f t="shared" si="8"/>
        <v>1796296</v>
      </c>
    </row>
    <row r="49" spans="1:12" x14ac:dyDescent="0.3">
      <c r="A49" s="254"/>
      <c r="B49" s="268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08">
        <v>0</v>
      </c>
      <c r="L49" s="3">
        <f t="shared" ref="L49:L50" si="10">J49-K49</f>
        <v>78740</v>
      </c>
    </row>
    <row r="50" spans="1:12" x14ac:dyDescent="0.3">
      <c r="A50" s="254"/>
      <c r="B50" s="268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08">
        <v>0</v>
      </c>
      <c r="L50" s="3">
        <f t="shared" si="10"/>
        <v>21260</v>
      </c>
    </row>
    <row r="51" spans="1:12" x14ac:dyDescent="0.3">
      <c r="A51" s="254"/>
      <c r="B51" s="265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0">
        <f t="shared" si="11"/>
        <v>0</v>
      </c>
      <c r="L51" s="7">
        <f t="shared" si="11"/>
        <v>100000</v>
      </c>
    </row>
    <row r="52" spans="1:12" x14ac:dyDescent="0.3">
      <c r="A52" s="254"/>
      <c r="B52" s="261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08">
        <v>16918561</v>
      </c>
      <c r="L52" s="3">
        <f t="shared" ref="L52:L60" si="13">J52-K52</f>
        <v>8224720</v>
      </c>
    </row>
    <row r="53" spans="1:12" x14ac:dyDescent="0.3">
      <c r="A53" s="254"/>
      <c r="B53" s="261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08">
        <v>1437961</v>
      </c>
      <c r="L53" s="3">
        <f t="shared" si="13"/>
        <v>602519</v>
      </c>
    </row>
    <row r="54" spans="1:12" x14ac:dyDescent="0.3">
      <c r="A54" s="254"/>
      <c r="B54" s="261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08">
        <v>0</v>
      </c>
      <c r="L54" s="3">
        <f t="shared" si="13"/>
        <v>0</v>
      </c>
    </row>
    <row r="55" spans="1:12" x14ac:dyDescent="0.3">
      <c r="A55" s="254"/>
      <c r="B55" s="261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08">
        <v>450000</v>
      </c>
      <c r="L55" s="3">
        <f t="shared" si="13"/>
        <v>575000</v>
      </c>
    </row>
    <row r="56" spans="1:12" x14ac:dyDescent="0.3">
      <c r="A56" s="254"/>
      <c r="B56" s="261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08">
        <v>0</v>
      </c>
      <c r="L56" s="3">
        <f t="shared" si="13"/>
        <v>60000</v>
      </c>
    </row>
    <row r="57" spans="1:12" x14ac:dyDescent="0.3">
      <c r="A57" s="254"/>
      <c r="B57" s="261"/>
      <c r="C57" s="2" t="s">
        <v>27</v>
      </c>
      <c r="D57" s="3">
        <v>240000</v>
      </c>
      <c r="E57" s="3">
        <v>229902</v>
      </c>
      <c r="F57" s="3"/>
      <c r="G57" s="3"/>
      <c r="H57" s="3"/>
      <c r="I57" s="3"/>
      <c r="J57" s="20">
        <f t="shared" si="12"/>
        <v>229902</v>
      </c>
      <c r="K57" s="108">
        <v>116370</v>
      </c>
      <c r="L57" s="3">
        <f t="shared" si="13"/>
        <v>113532</v>
      </c>
    </row>
    <row r="58" spans="1:12" x14ac:dyDescent="0.3">
      <c r="A58" s="254"/>
      <c r="B58" s="261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08">
        <v>57000</v>
      </c>
      <c r="L58" s="3">
        <f t="shared" si="13"/>
        <v>90000</v>
      </c>
    </row>
    <row r="59" spans="1:12" x14ac:dyDescent="0.3">
      <c r="A59" s="254"/>
      <c r="B59" s="261"/>
      <c r="C59" s="2" t="s">
        <v>29</v>
      </c>
      <c r="D59" s="3">
        <v>553500</v>
      </c>
      <c r="E59" s="3">
        <v>523080</v>
      </c>
      <c r="F59" s="3"/>
      <c r="G59" s="3"/>
      <c r="H59" s="3"/>
      <c r="I59" s="3"/>
      <c r="J59" s="20">
        <f t="shared" si="12"/>
        <v>523080</v>
      </c>
      <c r="K59" s="108">
        <v>484727</v>
      </c>
      <c r="L59" s="3">
        <f t="shared" si="13"/>
        <v>38353</v>
      </c>
    </row>
    <row r="60" spans="1:12" x14ac:dyDescent="0.3">
      <c r="A60" s="254"/>
      <c r="B60" s="261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08">
        <v>13902</v>
      </c>
      <c r="L60" s="3">
        <f t="shared" si="13"/>
        <v>86098</v>
      </c>
    </row>
    <row r="61" spans="1:12" x14ac:dyDescent="0.3">
      <c r="A61" s="254"/>
      <c r="B61" s="261"/>
      <c r="C61" s="6" t="s">
        <v>53</v>
      </c>
      <c r="D61" s="7">
        <f>SUM(D52:D60)</f>
        <v>29289325</v>
      </c>
      <c r="E61" s="7">
        <v>29268743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0">
        <f t="shared" si="14"/>
        <v>19478521</v>
      </c>
      <c r="L61" s="7">
        <f t="shared" si="14"/>
        <v>9790222</v>
      </c>
    </row>
    <row r="62" spans="1:12" x14ac:dyDescent="0.3">
      <c r="A62" s="254"/>
      <c r="B62" s="261"/>
      <c r="C62" s="82" t="s">
        <v>31</v>
      </c>
      <c r="D62" s="83">
        <v>5849797</v>
      </c>
      <c r="E62" s="83">
        <v>5853685</v>
      </c>
      <c r="F62" s="83"/>
      <c r="G62" s="83"/>
      <c r="H62" s="83"/>
      <c r="I62" s="83"/>
      <c r="J62" s="84">
        <f t="shared" ref="J62:J75" si="15">E62+F62+G62+H62+I62</f>
        <v>5853685</v>
      </c>
      <c r="K62" s="111">
        <v>4039443</v>
      </c>
      <c r="L62" s="85">
        <f t="shared" ref="L62:L75" si="16">J62-K62</f>
        <v>1814242</v>
      </c>
    </row>
    <row r="63" spans="1:12" x14ac:dyDescent="0.3">
      <c r="A63" s="254"/>
      <c r="B63" s="261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08">
        <v>44084</v>
      </c>
      <c r="L63" s="3">
        <f t="shared" si="16"/>
        <v>60916</v>
      </c>
    </row>
    <row r="64" spans="1:12" x14ac:dyDescent="0.3">
      <c r="A64" s="254"/>
      <c r="B64" s="261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08">
        <v>43894</v>
      </c>
      <c r="L64" s="3">
        <f t="shared" si="16"/>
        <v>656106</v>
      </c>
    </row>
    <row r="65" spans="1:12" x14ac:dyDescent="0.3">
      <c r="A65" s="254"/>
      <c r="B65" s="261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08">
        <v>81874</v>
      </c>
      <c r="L65" s="3">
        <f t="shared" si="16"/>
        <v>131126</v>
      </c>
    </row>
    <row r="66" spans="1:12" x14ac:dyDescent="0.3">
      <c r="A66" s="254"/>
      <c r="B66" s="261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08">
        <v>85418</v>
      </c>
      <c r="L66" s="3">
        <f t="shared" si="16"/>
        <v>36782</v>
      </c>
    </row>
    <row r="67" spans="1:12" x14ac:dyDescent="0.3">
      <c r="A67" s="254"/>
      <c r="B67" s="261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08">
        <v>465441</v>
      </c>
      <c r="L67" s="3">
        <f t="shared" si="16"/>
        <v>204099</v>
      </c>
    </row>
    <row r="68" spans="1:12" x14ac:dyDescent="0.3">
      <c r="A68" s="254"/>
      <c r="B68" s="261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08">
        <v>0</v>
      </c>
      <c r="L68" s="3">
        <f t="shared" si="16"/>
        <v>123000</v>
      </c>
    </row>
    <row r="69" spans="1:12" x14ac:dyDescent="0.3">
      <c r="A69" s="254"/>
      <c r="B69" s="261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08">
        <v>193540</v>
      </c>
      <c r="L69" s="3">
        <f t="shared" si="16"/>
        <v>266460</v>
      </c>
    </row>
    <row r="70" spans="1:12" x14ac:dyDescent="0.3">
      <c r="A70" s="254"/>
      <c r="B70" s="261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08">
        <v>544586</v>
      </c>
      <c r="L70" s="3">
        <f t="shared" si="16"/>
        <v>817318</v>
      </c>
    </row>
    <row r="71" spans="1:12" x14ac:dyDescent="0.3">
      <c r="A71" s="254"/>
      <c r="B71" s="261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08">
        <v>808895</v>
      </c>
      <c r="L71" s="3">
        <f t="shared" si="16"/>
        <v>171656</v>
      </c>
    </row>
    <row r="72" spans="1:12" x14ac:dyDescent="0.3">
      <c r="A72" s="254"/>
      <c r="B72" s="261"/>
      <c r="C72" s="2" t="s">
        <v>42</v>
      </c>
      <c r="D72" s="3">
        <v>1200000</v>
      </c>
      <c r="E72" s="3">
        <v>1139045</v>
      </c>
      <c r="F72" s="3"/>
      <c r="G72" s="3"/>
      <c r="H72" s="3"/>
      <c r="I72" s="3"/>
      <c r="J72" s="20">
        <f t="shared" si="15"/>
        <v>1139045</v>
      </c>
      <c r="K72" s="108">
        <v>251310</v>
      </c>
      <c r="L72" s="3">
        <f t="shared" si="16"/>
        <v>887735</v>
      </c>
    </row>
    <row r="73" spans="1:12" x14ac:dyDescent="0.3">
      <c r="A73" s="254"/>
      <c r="B73" s="261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08">
        <v>0</v>
      </c>
      <c r="L73" s="3">
        <f t="shared" si="16"/>
        <v>30000</v>
      </c>
    </row>
    <row r="74" spans="1:12" x14ac:dyDescent="0.3">
      <c r="A74" s="254"/>
      <c r="B74" s="261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08">
        <v>272889</v>
      </c>
      <c r="L74" s="3">
        <f t="shared" si="16"/>
        <v>707534</v>
      </c>
    </row>
    <row r="75" spans="1:12" x14ac:dyDescent="0.3">
      <c r="A75" s="254"/>
      <c r="B75" s="261"/>
      <c r="C75" s="2" t="s">
        <v>45</v>
      </c>
      <c r="D75" s="3">
        <v>433021</v>
      </c>
      <c r="E75" s="3">
        <v>134003</v>
      </c>
      <c r="F75" s="3"/>
      <c r="G75" s="3"/>
      <c r="H75" s="3"/>
      <c r="I75" s="3"/>
      <c r="J75" s="20">
        <f t="shared" si="15"/>
        <v>134003</v>
      </c>
      <c r="K75" s="108">
        <v>0</v>
      </c>
      <c r="L75" s="3">
        <f t="shared" si="16"/>
        <v>134003</v>
      </c>
    </row>
    <row r="76" spans="1:12" x14ac:dyDescent="0.3">
      <c r="A76" s="254"/>
      <c r="B76" s="261"/>
      <c r="C76" s="6" t="s">
        <v>49</v>
      </c>
      <c r="D76" s="7">
        <f>SUM(D63:D75)</f>
        <v>7607209</v>
      </c>
      <c r="E76" s="7">
        <v>7018666</v>
      </c>
      <c r="F76" s="7">
        <f t="shared" ref="F76:L76" si="17">SUM(F63:F75)</f>
        <v>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7018666</v>
      </c>
      <c r="K76" s="110">
        <f t="shared" si="17"/>
        <v>2791931</v>
      </c>
      <c r="L76" s="7">
        <f t="shared" si="17"/>
        <v>4226735</v>
      </c>
    </row>
    <row r="77" spans="1:12" x14ac:dyDescent="0.3">
      <c r="A77" s="254"/>
      <c r="B77" s="261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08">
        <v>0</v>
      </c>
      <c r="L77" s="3">
        <f t="shared" ref="L77:L78" si="19">J77-K77</f>
        <v>78740</v>
      </c>
    </row>
    <row r="78" spans="1:12" x14ac:dyDescent="0.3">
      <c r="A78" s="254"/>
      <c r="B78" s="261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08">
        <v>0</v>
      </c>
      <c r="L78" s="3">
        <f t="shared" si="19"/>
        <v>21260</v>
      </c>
    </row>
    <row r="79" spans="1:12" x14ac:dyDescent="0.3">
      <c r="A79" s="254"/>
      <c r="B79" s="261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0">
        <f t="shared" si="20"/>
        <v>0</v>
      </c>
      <c r="L79" s="7">
        <f t="shared" si="20"/>
        <v>100000</v>
      </c>
    </row>
    <row r="80" spans="1:12" x14ac:dyDescent="0.3">
      <c r="A80" s="281" t="s">
        <v>58</v>
      </c>
      <c r="B80" s="280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08">
        <v>323000</v>
      </c>
      <c r="L80" s="3">
        <f t="shared" ref="L80:L87" si="22">J80-K80</f>
        <v>87400</v>
      </c>
    </row>
    <row r="81" spans="1:12" x14ac:dyDescent="0.3">
      <c r="A81" s="282"/>
      <c r="B81" s="28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08">
        <v>61529</v>
      </c>
      <c r="L81" s="3">
        <f t="shared" si="22"/>
        <v>14737</v>
      </c>
    </row>
    <row r="82" spans="1:12" x14ac:dyDescent="0.3">
      <c r="A82" s="281" t="s">
        <v>59</v>
      </c>
      <c r="B82" s="280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08">
        <v>262300</v>
      </c>
      <c r="L82" s="3">
        <f t="shared" si="22"/>
        <v>341300</v>
      </c>
    </row>
    <row r="83" spans="1:12" x14ac:dyDescent="0.3">
      <c r="A83" s="282"/>
      <c r="B83" s="28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08">
        <v>50090</v>
      </c>
      <c r="L83" s="3">
        <f t="shared" si="22"/>
        <v>62079</v>
      </c>
    </row>
    <row r="84" spans="1:12" x14ac:dyDescent="0.3">
      <c r="A84" s="281" t="s">
        <v>60</v>
      </c>
      <c r="B84" s="280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08">
        <v>7753454</v>
      </c>
      <c r="L84" s="3">
        <f t="shared" si="22"/>
        <v>2922772</v>
      </c>
    </row>
    <row r="85" spans="1:12" x14ac:dyDescent="0.3">
      <c r="A85" s="282"/>
      <c r="B85" s="28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08">
        <v>1477086</v>
      </c>
      <c r="L85" s="3">
        <f t="shared" si="22"/>
        <v>512179</v>
      </c>
    </row>
    <row r="86" spans="1:12" x14ac:dyDescent="0.3">
      <c r="A86" s="281" t="s">
        <v>61</v>
      </c>
      <c r="B86" s="280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08">
        <v>5669741</v>
      </c>
      <c r="L86" s="3">
        <f t="shared" si="22"/>
        <v>2727933</v>
      </c>
    </row>
    <row r="87" spans="1:12" x14ac:dyDescent="0.3">
      <c r="A87" s="282"/>
      <c r="B87" s="28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08">
        <v>1080463</v>
      </c>
      <c r="L87" s="3">
        <f t="shared" si="22"/>
        <v>482890</v>
      </c>
    </row>
    <row r="88" spans="1:12" x14ac:dyDescent="0.3">
      <c r="A88" s="346" t="s">
        <v>76</v>
      </c>
      <c r="B88" s="347"/>
      <c r="C88" s="348"/>
      <c r="D88" s="122">
        <f t="shared" ref="D88" si="23">SUM(D32+D33+D48+D51+D61+D62+D76+D79+D80+D81+D82+D83+D84+D85+D86+D87)</f>
        <v>118207303</v>
      </c>
      <c r="E88" s="122">
        <f t="shared" ref="E88:L88" si="24">SUM(E32+E33+E48+E51+E61+E62+E76+E79+E80+E81+E82+E83+E84+E85+E86+E87)</f>
        <v>117294044</v>
      </c>
      <c r="F88" s="122">
        <f t="shared" si="24"/>
        <v>-75000</v>
      </c>
      <c r="G88" s="122">
        <f t="shared" si="24"/>
        <v>0</v>
      </c>
      <c r="H88" s="122">
        <f t="shared" si="24"/>
        <v>20000</v>
      </c>
      <c r="I88" s="122">
        <f t="shared" si="24"/>
        <v>0</v>
      </c>
      <c r="J88" s="122">
        <f t="shared" si="24"/>
        <v>117239044</v>
      </c>
      <c r="K88" s="122">
        <f t="shared" si="24"/>
        <v>76241837</v>
      </c>
      <c r="L88" s="122">
        <f t="shared" si="24"/>
        <v>40997207</v>
      </c>
    </row>
    <row r="89" spans="1:12" x14ac:dyDescent="0.3">
      <c r="A89" s="254" t="s">
        <v>12</v>
      </c>
      <c r="B89" s="261" t="s">
        <v>23</v>
      </c>
      <c r="C89" s="2" t="s">
        <v>24</v>
      </c>
      <c r="D89" s="3">
        <v>4811583</v>
      </c>
      <c r="E89" s="3">
        <v>4732868</v>
      </c>
      <c r="F89" s="3">
        <v>-100000</v>
      </c>
      <c r="G89" s="3">
        <v>269597</v>
      </c>
      <c r="H89" s="3"/>
      <c r="I89" s="3"/>
      <c r="J89" s="20">
        <f t="shared" ref="J89:J95" si="25">E89+F89+G89+H89+I89</f>
        <v>4902465</v>
      </c>
      <c r="K89" s="108">
        <v>3368552</v>
      </c>
      <c r="L89" s="3">
        <f t="shared" ref="L89:L95" si="26">J89-K89</f>
        <v>1533913</v>
      </c>
    </row>
    <row r="90" spans="1:12" x14ac:dyDescent="0.3">
      <c r="A90" s="254"/>
      <c r="B90" s="261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08">
        <v>100000</v>
      </c>
      <c r="L90" s="3">
        <f t="shared" si="26"/>
        <v>100000</v>
      </c>
    </row>
    <row r="91" spans="1:12" x14ac:dyDescent="0.3">
      <c r="A91" s="254"/>
      <c r="B91" s="261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08">
        <v>0</v>
      </c>
      <c r="L91" s="3">
        <f t="shared" si="26"/>
        <v>10000</v>
      </c>
    </row>
    <row r="92" spans="1:12" x14ac:dyDescent="0.3">
      <c r="A92" s="254"/>
      <c r="B92" s="261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08">
        <v>105300</v>
      </c>
      <c r="L92" s="3">
        <f t="shared" si="26"/>
        <v>92700</v>
      </c>
    </row>
    <row r="93" spans="1:12" x14ac:dyDescent="0.3">
      <c r="A93" s="254"/>
      <c r="B93" s="261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08">
        <v>12000</v>
      </c>
      <c r="L93" s="3">
        <f t="shared" si="26"/>
        <v>12000</v>
      </c>
    </row>
    <row r="94" spans="1:12" x14ac:dyDescent="0.3">
      <c r="A94" s="254"/>
      <c r="B94" s="261"/>
      <c r="C94" s="2" t="s">
        <v>29</v>
      </c>
      <c r="D94" s="3">
        <v>75000</v>
      </c>
      <c r="E94" s="3">
        <v>153715</v>
      </c>
      <c r="F94" s="3">
        <v>100000</v>
      </c>
      <c r="G94" s="3"/>
      <c r="H94" s="3"/>
      <c r="I94" s="3"/>
      <c r="J94" s="20">
        <f t="shared" si="25"/>
        <v>253715</v>
      </c>
      <c r="K94" s="108">
        <v>78715</v>
      </c>
      <c r="L94" s="3">
        <f t="shared" si="26"/>
        <v>175000</v>
      </c>
    </row>
    <row r="95" spans="1:12" x14ac:dyDescent="0.3">
      <c r="A95" s="254"/>
      <c r="B95" s="261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08">
        <v>0</v>
      </c>
      <c r="L95" s="3">
        <f t="shared" si="26"/>
        <v>0</v>
      </c>
    </row>
    <row r="96" spans="1:12" x14ac:dyDescent="0.3">
      <c r="A96" s="254"/>
      <c r="B96" s="261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269597</v>
      </c>
      <c r="H96" s="7">
        <f t="shared" si="27"/>
        <v>0</v>
      </c>
      <c r="I96" s="7">
        <f t="shared" si="27"/>
        <v>0</v>
      </c>
      <c r="J96" s="7">
        <f t="shared" si="27"/>
        <v>5588180</v>
      </c>
      <c r="K96" s="110">
        <f t="shared" si="27"/>
        <v>3664567</v>
      </c>
      <c r="L96" s="7">
        <f t="shared" si="27"/>
        <v>1923613</v>
      </c>
    </row>
    <row r="97" spans="1:12" x14ac:dyDescent="0.3">
      <c r="A97" s="254"/>
      <c r="B97" s="261"/>
      <c r="C97" s="82" t="s">
        <v>31</v>
      </c>
      <c r="D97" s="83">
        <v>1035556</v>
      </c>
      <c r="E97" s="83">
        <v>1035556</v>
      </c>
      <c r="F97" s="83"/>
      <c r="G97" s="83">
        <v>52571</v>
      </c>
      <c r="H97" s="83"/>
      <c r="I97" s="83"/>
      <c r="J97" s="84">
        <f t="shared" ref="J97:J107" si="28">E97+F97+G97+H97+I97</f>
        <v>1088127</v>
      </c>
      <c r="K97" s="111">
        <v>733326</v>
      </c>
      <c r="L97" s="85">
        <f t="shared" ref="L97:L107" si="29">J97-K97</f>
        <v>354801</v>
      </c>
    </row>
    <row r="98" spans="1:12" x14ac:dyDescent="0.3">
      <c r="A98" s="254"/>
      <c r="B98" s="261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08">
        <v>0</v>
      </c>
      <c r="L98" s="3">
        <f t="shared" si="29"/>
        <v>100000</v>
      </c>
    </row>
    <row r="99" spans="1:12" x14ac:dyDescent="0.3">
      <c r="A99" s="254"/>
      <c r="B99" s="261"/>
      <c r="C99" s="2" t="s">
        <v>33</v>
      </c>
      <c r="D99" s="3">
        <v>100000</v>
      </c>
      <c r="E99" s="3">
        <v>100000</v>
      </c>
      <c r="F99" s="3">
        <v>-30000</v>
      </c>
      <c r="G99" s="3"/>
      <c r="H99" s="3"/>
      <c r="I99" s="3"/>
      <c r="J99" s="20">
        <f t="shared" si="28"/>
        <v>70000</v>
      </c>
      <c r="K99" s="108">
        <v>0</v>
      </c>
      <c r="L99" s="3">
        <f t="shared" si="29"/>
        <v>70000</v>
      </c>
    </row>
    <row r="100" spans="1:12" x14ac:dyDescent="0.3">
      <c r="A100" s="254"/>
      <c r="B100" s="261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08">
        <v>0</v>
      </c>
      <c r="L100" s="3">
        <f t="shared" si="29"/>
        <v>210000</v>
      </c>
    </row>
    <row r="101" spans="1:12" x14ac:dyDescent="0.3">
      <c r="A101" s="254"/>
      <c r="B101" s="261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08">
        <v>0</v>
      </c>
      <c r="L101" s="3">
        <f t="shared" si="29"/>
        <v>110000</v>
      </c>
    </row>
    <row r="102" spans="1:12" x14ac:dyDescent="0.3">
      <c r="A102" s="254"/>
      <c r="B102" s="261"/>
      <c r="C102" s="2" t="s">
        <v>36</v>
      </c>
      <c r="D102" s="3">
        <v>500000</v>
      </c>
      <c r="E102" s="3">
        <v>499100</v>
      </c>
      <c r="F102" s="3"/>
      <c r="G102" s="3"/>
      <c r="H102" s="3"/>
      <c r="I102" s="3"/>
      <c r="J102" s="20">
        <f t="shared" si="28"/>
        <v>499100</v>
      </c>
      <c r="K102" s="108">
        <v>353510</v>
      </c>
      <c r="L102" s="3">
        <f t="shared" si="29"/>
        <v>145590</v>
      </c>
    </row>
    <row r="103" spans="1:12" x14ac:dyDescent="0.3">
      <c r="A103" s="254"/>
      <c r="B103" s="261"/>
      <c r="C103" s="2" t="s">
        <v>38</v>
      </c>
      <c r="D103" s="3">
        <v>140000</v>
      </c>
      <c r="E103" s="3">
        <v>135380</v>
      </c>
      <c r="F103" s="3"/>
      <c r="G103" s="3"/>
      <c r="H103" s="3"/>
      <c r="I103" s="3"/>
      <c r="J103" s="20">
        <f t="shared" si="28"/>
        <v>135380</v>
      </c>
      <c r="K103" s="108">
        <v>0</v>
      </c>
      <c r="L103" s="3">
        <f t="shared" si="29"/>
        <v>135380</v>
      </c>
    </row>
    <row r="104" spans="1:12" x14ac:dyDescent="0.3">
      <c r="A104" s="254"/>
      <c r="B104" s="261"/>
      <c r="C104" s="2" t="s">
        <v>40</v>
      </c>
      <c r="D104" s="3">
        <v>16800</v>
      </c>
      <c r="E104" s="3">
        <v>20200</v>
      </c>
      <c r="F104" s="3"/>
      <c r="G104" s="3"/>
      <c r="H104" s="3"/>
      <c r="I104" s="3"/>
      <c r="J104" s="20">
        <f t="shared" si="28"/>
        <v>20200</v>
      </c>
      <c r="K104" s="108">
        <v>6800</v>
      </c>
      <c r="L104" s="3">
        <f t="shared" si="29"/>
        <v>13400</v>
      </c>
    </row>
    <row r="105" spans="1:12" x14ac:dyDescent="0.3">
      <c r="A105" s="254"/>
      <c r="B105" s="261"/>
      <c r="C105" s="2" t="s">
        <v>41</v>
      </c>
      <c r="D105" s="3">
        <v>80000</v>
      </c>
      <c r="E105" s="3">
        <v>87280</v>
      </c>
      <c r="F105" s="3">
        <v>30000</v>
      </c>
      <c r="G105" s="3"/>
      <c r="H105" s="3"/>
      <c r="I105" s="3"/>
      <c r="J105" s="20">
        <f t="shared" si="28"/>
        <v>117280</v>
      </c>
      <c r="K105" s="108">
        <v>86960</v>
      </c>
      <c r="L105" s="3">
        <f t="shared" si="29"/>
        <v>30320</v>
      </c>
    </row>
    <row r="106" spans="1:12" x14ac:dyDescent="0.3">
      <c r="A106" s="254"/>
      <c r="B106" s="261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08">
        <v>121760</v>
      </c>
      <c r="L106" s="3">
        <f t="shared" si="29"/>
        <v>118240</v>
      </c>
    </row>
    <row r="107" spans="1:12" x14ac:dyDescent="0.3">
      <c r="A107" s="254"/>
      <c r="B107" s="261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8"/>
        <v>195440</v>
      </c>
      <c r="K107" s="108">
        <v>28463</v>
      </c>
      <c r="L107" s="3">
        <f t="shared" si="29"/>
        <v>166977</v>
      </c>
    </row>
    <row r="108" spans="1:12" x14ac:dyDescent="0.3">
      <c r="A108" s="254"/>
      <c r="B108" s="261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0">
        <f t="shared" si="30"/>
        <v>597493</v>
      </c>
      <c r="L108" s="7">
        <f t="shared" si="30"/>
        <v>1099907</v>
      </c>
    </row>
    <row r="109" spans="1:12" x14ac:dyDescent="0.3">
      <c r="A109" s="262" t="s">
        <v>62</v>
      </c>
      <c r="B109" s="264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08">
        <v>51700</v>
      </c>
      <c r="L109" s="3">
        <f t="shared" ref="L109:L112" si="32">J109-K109</f>
        <v>59900</v>
      </c>
    </row>
    <row r="110" spans="1:12" x14ac:dyDescent="0.3">
      <c r="A110" s="263"/>
      <c r="B110" s="265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08">
        <v>9866</v>
      </c>
      <c r="L110" s="3">
        <f t="shared" si="32"/>
        <v>10873</v>
      </c>
    </row>
    <row r="111" spans="1:12" x14ac:dyDescent="0.3">
      <c r="A111" s="262" t="s">
        <v>63</v>
      </c>
      <c r="B111" s="264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08">
        <v>1126689</v>
      </c>
      <c r="L111" s="3">
        <f t="shared" si="32"/>
        <v>333583</v>
      </c>
    </row>
    <row r="112" spans="1:12" x14ac:dyDescent="0.3">
      <c r="A112" s="263"/>
      <c r="B112" s="265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08">
        <v>214670</v>
      </c>
      <c r="L112" s="3">
        <f t="shared" si="32"/>
        <v>57498</v>
      </c>
    </row>
    <row r="113" spans="1:12" x14ac:dyDescent="0.3">
      <c r="A113" s="346" t="s">
        <v>77</v>
      </c>
      <c r="B113" s="347"/>
      <c r="C113" s="348"/>
      <c r="D113" s="122">
        <f>SUM(D96+D97+D108+D109+D110+D111+D112)</f>
        <v>9916318</v>
      </c>
      <c r="E113" s="122">
        <f t="shared" ref="E113:L113" si="33">SUM(E96+E97+E108+E109+E110+E111+E112)</f>
        <v>9916318</v>
      </c>
      <c r="F113" s="122">
        <f t="shared" si="33"/>
        <v>0</v>
      </c>
      <c r="G113" s="122">
        <f t="shared" si="33"/>
        <v>322168</v>
      </c>
      <c r="H113" s="122">
        <f t="shared" si="33"/>
        <v>0</v>
      </c>
      <c r="I113" s="122">
        <f t="shared" si="33"/>
        <v>0</v>
      </c>
      <c r="J113" s="122">
        <f t="shared" si="33"/>
        <v>10238486</v>
      </c>
      <c r="K113" s="124">
        <f t="shared" si="33"/>
        <v>6398311</v>
      </c>
      <c r="L113" s="122">
        <f t="shared" si="33"/>
        <v>3840175</v>
      </c>
    </row>
    <row r="114" spans="1:12" x14ac:dyDescent="0.3">
      <c r="A114" s="254" t="s">
        <v>13</v>
      </c>
      <c r="B114" s="261" t="s">
        <v>23</v>
      </c>
      <c r="C114" s="2" t="s">
        <v>24</v>
      </c>
      <c r="D114" s="3">
        <v>4871210</v>
      </c>
      <c r="E114" s="3">
        <v>4856627</v>
      </c>
      <c r="F114" s="3">
        <v>-30000</v>
      </c>
      <c r="G114" s="3">
        <v>173653</v>
      </c>
      <c r="H114" s="3"/>
      <c r="I114" s="3"/>
      <c r="J114" s="20">
        <f t="shared" ref="J114:J119" si="34">E114+F114+G114+H114+I114</f>
        <v>5000280</v>
      </c>
      <c r="K114" s="108">
        <v>3529900</v>
      </c>
      <c r="L114" s="3">
        <f t="shared" ref="L114:L119" si="35">J114-K114</f>
        <v>1470380</v>
      </c>
    </row>
    <row r="115" spans="1:12" x14ac:dyDescent="0.3">
      <c r="A115" s="254"/>
      <c r="B115" s="261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08">
        <v>100000</v>
      </c>
      <c r="L115" s="3">
        <f t="shared" si="35"/>
        <v>100000</v>
      </c>
    </row>
    <row r="116" spans="1:12" x14ac:dyDescent="0.3">
      <c r="A116" s="254"/>
      <c r="B116" s="261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08">
        <v>0</v>
      </c>
      <c r="L116" s="3">
        <f t="shared" si="35"/>
        <v>10000</v>
      </c>
    </row>
    <row r="117" spans="1:12" x14ac:dyDescent="0.3">
      <c r="A117" s="254"/>
      <c r="B117" s="261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08">
        <v>12000</v>
      </c>
      <c r="L117" s="3">
        <f t="shared" si="35"/>
        <v>12000</v>
      </c>
    </row>
    <row r="118" spans="1:12" x14ac:dyDescent="0.3">
      <c r="A118" s="254"/>
      <c r="B118" s="261"/>
      <c r="C118" s="2" t="s">
        <v>29</v>
      </c>
      <c r="D118" s="3">
        <v>75000</v>
      </c>
      <c r="E118" s="3">
        <v>103601</v>
      </c>
      <c r="F118" s="3">
        <v>30000</v>
      </c>
      <c r="G118" s="3"/>
      <c r="H118" s="3"/>
      <c r="I118" s="3"/>
      <c r="J118" s="20">
        <f t="shared" si="34"/>
        <v>133601</v>
      </c>
      <c r="K118" s="108">
        <v>28601</v>
      </c>
      <c r="L118" s="3">
        <f t="shared" si="35"/>
        <v>105000</v>
      </c>
    </row>
    <row r="119" spans="1:12" x14ac:dyDescent="0.3">
      <c r="A119" s="254"/>
      <c r="B119" s="261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08">
        <v>0</v>
      </c>
      <c r="L119" s="3">
        <f t="shared" si="35"/>
        <v>0</v>
      </c>
    </row>
    <row r="120" spans="1:12" x14ac:dyDescent="0.3">
      <c r="A120" s="254"/>
      <c r="B120" s="261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173653</v>
      </c>
      <c r="H120" s="7">
        <f t="shared" si="36"/>
        <v>0</v>
      </c>
      <c r="I120" s="7">
        <f t="shared" si="36"/>
        <v>0</v>
      </c>
      <c r="J120" s="7">
        <f t="shared" si="36"/>
        <v>5367881</v>
      </c>
      <c r="K120" s="110">
        <f t="shared" si="36"/>
        <v>3670501</v>
      </c>
      <c r="L120" s="7">
        <f t="shared" si="36"/>
        <v>1697380</v>
      </c>
    </row>
    <row r="121" spans="1:12" x14ac:dyDescent="0.3">
      <c r="A121" s="254"/>
      <c r="B121" s="261"/>
      <c r="C121" s="82" t="s">
        <v>31</v>
      </c>
      <c r="D121" s="83">
        <v>1046402</v>
      </c>
      <c r="E121" s="83">
        <v>1049135</v>
      </c>
      <c r="F121" s="83"/>
      <c r="G121" s="83">
        <v>33862</v>
      </c>
      <c r="H121" s="83"/>
      <c r="I121" s="83"/>
      <c r="J121" s="84">
        <f t="shared" ref="J121:J129" si="37">E121+F121+G121+H121+I121</f>
        <v>1082997</v>
      </c>
      <c r="K121" s="111">
        <v>754736</v>
      </c>
      <c r="L121" s="85">
        <f t="shared" ref="L121:L129" si="38">J121-K121</f>
        <v>328261</v>
      </c>
    </row>
    <row r="122" spans="1:12" x14ac:dyDescent="0.3">
      <c r="A122" s="254"/>
      <c r="B122" s="261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08">
        <v>0</v>
      </c>
      <c r="L122" s="3">
        <f t="shared" si="38"/>
        <v>50000</v>
      </c>
    </row>
    <row r="123" spans="1:12" x14ac:dyDescent="0.3">
      <c r="A123" s="254"/>
      <c r="B123" s="261"/>
      <c r="C123" s="2" t="s">
        <v>33</v>
      </c>
      <c r="D123" s="3">
        <v>100000</v>
      </c>
      <c r="E123" s="3">
        <v>100000</v>
      </c>
      <c r="F123" s="3">
        <v>-30000</v>
      </c>
      <c r="G123" s="3"/>
      <c r="H123" s="3"/>
      <c r="I123" s="3"/>
      <c r="J123" s="20">
        <f t="shared" si="37"/>
        <v>70000</v>
      </c>
      <c r="K123" s="108">
        <v>0</v>
      </c>
      <c r="L123" s="3">
        <f t="shared" si="38"/>
        <v>70000</v>
      </c>
    </row>
    <row r="124" spans="1:12" x14ac:dyDescent="0.3">
      <c r="A124" s="254"/>
      <c r="B124" s="261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08">
        <v>0</v>
      </c>
      <c r="L124" s="3">
        <f t="shared" si="38"/>
        <v>116000</v>
      </c>
    </row>
    <row r="125" spans="1:12" x14ac:dyDescent="0.3">
      <c r="A125" s="254"/>
      <c r="B125" s="261"/>
      <c r="C125" s="2" t="s">
        <v>38</v>
      </c>
      <c r="D125" s="3">
        <v>50000</v>
      </c>
      <c r="E125" s="3">
        <v>46600</v>
      </c>
      <c r="F125" s="3"/>
      <c r="G125" s="3"/>
      <c r="H125" s="3"/>
      <c r="I125" s="3"/>
      <c r="J125" s="20">
        <f t="shared" si="37"/>
        <v>46600</v>
      </c>
      <c r="K125" s="108">
        <v>0</v>
      </c>
      <c r="L125" s="3">
        <f t="shared" si="38"/>
        <v>46600</v>
      </c>
    </row>
    <row r="126" spans="1:12" x14ac:dyDescent="0.3">
      <c r="A126" s="254"/>
      <c r="B126" s="261"/>
      <c r="C126" s="2" t="s">
        <v>40</v>
      </c>
      <c r="D126" s="3">
        <v>16800</v>
      </c>
      <c r="E126" s="3">
        <v>20200</v>
      </c>
      <c r="F126" s="3"/>
      <c r="G126" s="3"/>
      <c r="H126" s="3"/>
      <c r="I126" s="3"/>
      <c r="J126" s="20">
        <f t="shared" si="37"/>
        <v>20200</v>
      </c>
      <c r="K126" s="108">
        <v>6800</v>
      </c>
      <c r="L126" s="3">
        <f t="shared" si="38"/>
        <v>13400</v>
      </c>
    </row>
    <row r="127" spans="1:12" x14ac:dyDescent="0.3">
      <c r="A127" s="254"/>
      <c r="B127" s="261"/>
      <c r="C127" s="2" t="s">
        <v>41</v>
      </c>
      <c r="D127" s="3">
        <v>0</v>
      </c>
      <c r="E127" s="3">
        <v>40280</v>
      </c>
      <c r="F127" s="3">
        <v>30000</v>
      </c>
      <c r="G127" s="3"/>
      <c r="H127" s="3"/>
      <c r="I127" s="3"/>
      <c r="J127" s="20">
        <f t="shared" si="37"/>
        <v>70280</v>
      </c>
      <c r="K127" s="108">
        <v>39960</v>
      </c>
      <c r="L127" s="3">
        <f t="shared" si="38"/>
        <v>30320</v>
      </c>
    </row>
    <row r="128" spans="1:12" x14ac:dyDescent="0.3">
      <c r="A128" s="254"/>
      <c r="B128" s="261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08">
        <v>101755</v>
      </c>
      <c r="L128" s="3">
        <f t="shared" si="38"/>
        <v>131965</v>
      </c>
    </row>
    <row r="129" spans="1:12" x14ac:dyDescent="0.3">
      <c r="A129" s="254"/>
      <c r="B129" s="261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08">
        <v>10788</v>
      </c>
      <c r="L129" s="3">
        <f t="shared" si="38"/>
        <v>83712</v>
      </c>
    </row>
    <row r="130" spans="1:12" x14ac:dyDescent="0.3">
      <c r="A130" s="254"/>
      <c r="B130" s="261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0">
        <f t="shared" si="39"/>
        <v>159303</v>
      </c>
      <c r="L130" s="7">
        <f t="shared" si="39"/>
        <v>541997</v>
      </c>
    </row>
    <row r="131" spans="1:12" x14ac:dyDescent="0.3">
      <c r="A131" s="262" t="s">
        <v>64</v>
      </c>
      <c r="B131" s="264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08">
        <v>29700</v>
      </c>
      <c r="L131" s="3">
        <f t="shared" ref="L131:L134" si="41">J131-K131</f>
        <v>9900</v>
      </c>
    </row>
    <row r="132" spans="1:12" x14ac:dyDescent="0.3">
      <c r="A132" s="263"/>
      <c r="B132" s="265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08">
        <v>5661</v>
      </c>
      <c r="L132" s="3">
        <f t="shared" si="41"/>
        <v>1698</v>
      </c>
    </row>
    <row r="133" spans="1:12" x14ac:dyDescent="0.3">
      <c r="A133" s="262" t="s">
        <v>65</v>
      </c>
      <c r="B133" s="264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08">
        <v>1018674</v>
      </c>
      <c r="L133" s="3">
        <f t="shared" si="41"/>
        <v>338484</v>
      </c>
    </row>
    <row r="134" spans="1:12" x14ac:dyDescent="0.3">
      <c r="A134" s="263"/>
      <c r="B134" s="265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08">
        <v>194110</v>
      </c>
      <c r="L134" s="3">
        <f t="shared" si="41"/>
        <v>59217</v>
      </c>
    </row>
    <row r="135" spans="1:12" x14ac:dyDescent="0.3">
      <c r="A135" s="346" t="s">
        <v>78</v>
      </c>
      <c r="B135" s="347"/>
      <c r="C135" s="348"/>
      <c r="D135" s="122">
        <f>SUM(D120+D121+D130+D131+D132+D133+D134)</f>
        <v>8585356</v>
      </c>
      <c r="E135" s="122">
        <f t="shared" ref="E135:L135" si="42">SUM(E120+E121+E130+E131+E132+E133+E134)</f>
        <v>8602107</v>
      </c>
      <c r="F135" s="122">
        <f t="shared" si="42"/>
        <v>0</v>
      </c>
      <c r="G135" s="122">
        <f t="shared" si="42"/>
        <v>207515</v>
      </c>
      <c r="H135" s="122">
        <f t="shared" si="42"/>
        <v>0</v>
      </c>
      <c r="I135" s="122">
        <f t="shared" si="42"/>
        <v>0</v>
      </c>
      <c r="J135" s="122">
        <f t="shared" si="42"/>
        <v>8809622</v>
      </c>
      <c r="K135" s="124">
        <f t="shared" si="42"/>
        <v>5832685</v>
      </c>
      <c r="L135" s="122">
        <f t="shared" si="42"/>
        <v>2976937</v>
      </c>
    </row>
    <row r="136" spans="1:12" x14ac:dyDescent="0.3">
      <c r="A136" s="254" t="s">
        <v>14</v>
      </c>
      <c r="B136" s="261" t="s">
        <v>23</v>
      </c>
      <c r="C136" s="2" t="s">
        <v>24</v>
      </c>
      <c r="D136" s="3">
        <v>4756797</v>
      </c>
      <c r="E136" s="3">
        <v>4668070</v>
      </c>
      <c r="F136" s="3">
        <v>-30000</v>
      </c>
      <c r="G136" s="3">
        <v>319009</v>
      </c>
      <c r="H136" s="3"/>
      <c r="I136" s="3"/>
      <c r="J136" s="20">
        <f t="shared" ref="J136:J142" si="43">E136+F136+G136+H136+I136</f>
        <v>4957079</v>
      </c>
      <c r="K136" s="108">
        <v>3361578</v>
      </c>
      <c r="L136" s="3">
        <f t="shared" ref="L136:L142" si="44">J136-K136</f>
        <v>1595501</v>
      </c>
    </row>
    <row r="137" spans="1:12" x14ac:dyDescent="0.3">
      <c r="A137" s="254"/>
      <c r="B137" s="261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08">
        <v>100000</v>
      </c>
      <c r="L137" s="3">
        <f t="shared" si="44"/>
        <v>100000</v>
      </c>
    </row>
    <row r="138" spans="1:12" x14ac:dyDescent="0.3">
      <c r="A138" s="254"/>
      <c r="B138" s="261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08">
        <v>0</v>
      </c>
      <c r="L138" s="3">
        <f t="shared" si="44"/>
        <v>10000</v>
      </c>
    </row>
    <row r="139" spans="1:12" x14ac:dyDescent="0.3">
      <c r="A139" s="254"/>
      <c r="B139" s="261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08">
        <v>149912</v>
      </c>
      <c r="L139" s="3">
        <f t="shared" si="44"/>
        <v>105088</v>
      </c>
    </row>
    <row r="140" spans="1:12" x14ac:dyDescent="0.3">
      <c r="A140" s="254"/>
      <c r="B140" s="261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08">
        <v>12000</v>
      </c>
      <c r="L140" s="3">
        <f t="shared" si="44"/>
        <v>12000</v>
      </c>
    </row>
    <row r="141" spans="1:12" x14ac:dyDescent="0.3">
      <c r="A141" s="254"/>
      <c r="B141" s="261"/>
      <c r="C141" s="2" t="s">
        <v>29</v>
      </c>
      <c r="D141" s="3">
        <v>0</v>
      </c>
      <c r="E141" s="3">
        <v>98307</v>
      </c>
      <c r="F141" s="3">
        <v>30000</v>
      </c>
      <c r="G141" s="3"/>
      <c r="H141" s="3"/>
      <c r="I141" s="3"/>
      <c r="J141" s="20">
        <f t="shared" si="43"/>
        <v>128307</v>
      </c>
      <c r="K141" s="108">
        <v>98307</v>
      </c>
      <c r="L141" s="3">
        <f t="shared" si="44"/>
        <v>30000</v>
      </c>
    </row>
    <row r="142" spans="1:12" x14ac:dyDescent="0.3">
      <c r="A142" s="254"/>
      <c r="B142" s="261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08">
        <v>0</v>
      </c>
      <c r="L142" s="3">
        <f t="shared" si="44"/>
        <v>0</v>
      </c>
    </row>
    <row r="143" spans="1:12" x14ac:dyDescent="0.3">
      <c r="A143" s="254"/>
      <c r="B143" s="261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319009</v>
      </c>
      <c r="H143" s="7">
        <f t="shared" si="45"/>
        <v>0</v>
      </c>
      <c r="I143" s="7">
        <f t="shared" si="45"/>
        <v>0</v>
      </c>
      <c r="J143" s="7">
        <f t="shared" si="45"/>
        <v>5574386</v>
      </c>
      <c r="K143" s="110">
        <f t="shared" si="45"/>
        <v>3721797</v>
      </c>
      <c r="L143" s="7">
        <f t="shared" si="45"/>
        <v>1852589</v>
      </c>
    </row>
    <row r="144" spans="1:12" x14ac:dyDescent="0.3">
      <c r="A144" s="254"/>
      <c r="B144" s="261"/>
      <c r="C144" s="82" t="s">
        <v>31</v>
      </c>
      <c r="D144" s="83">
        <v>1025121</v>
      </c>
      <c r="E144" s="83">
        <v>1026989</v>
      </c>
      <c r="F144" s="83"/>
      <c r="G144" s="83">
        <v>62207</v>
      </c>
      <c r="H144" s="83"/>
      <c r="I144" s="83"/>
      <c r="J144" s="84">
        <f t="shared" ref="J144:J152" si="46">E144+F144+G144+H144+I144</f>
        <v>1089196</v>
      </c>
      <c r="K144" s="111">
        <v>735784</v>
      </c>
      <c r="L144" s="85">
        <f t="shared" ref="L144:L152" si="47">J144-K144</f>
        <v>353412</v>
      </c>
    </row>
    <row r="145" spans="1:12" x14ac:dyDescent="0.3">
      <c r="A145" s="254"/>
      <c r="B145" s="261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08">
        <v>0</v>
      </c>
      <c r="L145" s="3">
        <f t="shared" si="47"/>
        <v>80000</v>
      </c>
    </row>
    <row r="146" spans="1:12" x14ac:dyDescent="0.3">
      <c r="A146" s="254"/>
      <c r="B146" s="261"/>
      <c r="C146" s="2" t="s">
        <v>33</v>
      </c>
      <c r="D146" s="3">
        <v>110000</v>
      </c>
      <c r="E146" s="3">
        <v>90000</v>
      </c>
      <c r="F146" s="3">
        <v>-40000</v>
      </c>
      <c r="G146" s="3"/>
      <c r="H146" s="3"/>
      <c r="I146" s="3"/>
      <c r="J146" s="20">
        <f t="shared" si="46"/>
        <v>50000</v>
      </c>
      <c r="K146" s="108">
        <v>0</v>
      </c>
      <c r="L146" s="3">
        <f t="shared" si="47"/>
        <v>50000</v>
      </c>
    </row>
    <row r="147" spans="1:12" x14ac:dyDescent="0.3">
      <c r="A147" s="254"/>
      <c r="B147" s="261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08">
        <v>0</v>
      </c>
      <c r="L147" s="3">
        <f t="shared" si="47"/>
        <v>136000</v>
      </c>
    </row>
    <row r="148" spans="1:12" x14ac:dyDescent="0.3">
      <c r="A148" s="254"/>
      <c r="B148" s="261"/>
      <c r="C148" s="2" t="s">
        <v>38</v>
      </c>
      <c r="D148" s="3">
        <v>144000</v>
      </c>
      <c r="E148" s="3">
        <v>140600</v>
      </c>
      <c r="F148" s="3"/>
      <c r="G148" s="3"/>
      <c r="H148" s="3"/>
      <c r="I148" s="3"/>
      <c r="J148" s="20">
        <f t="shared" si="46"/>
        <v>140600</v>
      </c>
      <c r="K148" s="108">
        <v>0</v>
      </c>
      <c r="L148" s="3">
        <f t="shared" si="47"/>
        <v>140600</v>
      </c>
    </row>
    <row r="149" spans="1:12" x14ac:dyDescent="0.3">
      <c r="A149" s="254"/>
      <c r="B149" s="261"/>
      <c r="C149" s="2" t="s">
        <v>40</v>
      </c>
      <c r="D149" s="3">
        <v>16800</v>
      </c>
      <c r="E149" s="3">
        <v>20200</v>
      </c>
      <c r="F149" s="3"/>
      <c r="G149" s="3"/>
      <c r="H149" s="3"/>
      <c r="I149" s="3"/>
      <c r="J149" s="20">
        <f t="shared" si="46"/>
        <v>20200</v>
      </c>
      <c r="K149" s="108">
        <v>6800</v>
      </c>
      <c r="L149" s="3">
        <f t="shared" si="47"/>
        <v>13400</v>
      </c>
    </row>
    <row r="150" spans="1:12" x14ac:dyDescent="0.3">
      <c r="A150" s="254"/>
      <c r="B150" s="261"/>
      <c r="C150" s="2" t="s">
        <v>41</v>
      </c>
      <c r="D150" s="3">
        <v>40000</v>
      </c>
      <c r="E150" s="3">
        <v>80280</v>
      </c>
      <c r="F150" s="3">
        <v>40000</v>
      </c>
      <c r="G150" s="3"/>
      <c r="H150" s="3"/>
      <c r="I150" s="3"/>
      <c r="J150" s="20">
        <f t="shared" si="46"/>
        <v>120280</v>
      </c>
      <c r="K150" s="108">
        <v>79960</v>
      </c>
      <c r="L150" s="3">
        <f t="shared" si="47"/>
        <v>40320</v>
      </c>
    </row>
    <row r="151" spans="1:12" x14ac:dyDescent="0.3">
      <c r="A151" s="254"/>
      <c r="B151" s="261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08">
        <v>78830</v>
      </c>
      <c r="L151" s="3">
        <f t="shared" si="47"/>
        <v>64890</v>
      </c>
    </row>
    <row r="152" spans="1:12" x14ac:dyDescent="0.3">
      <c r="A152" s="254"/>
      <c r="B152" s="261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08">
        <v>10790</v>
      </c>
      <c r="L152" s="3">
        <f t="shared" si="47"/>
        <v>130690</v>
      </c>
    </row>
    <row r="153" spans="1:12" x14ac:dyDescent="0.3">
      <c r="A153" s="254"/>
      <c r="B153" s="261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0">
        <f t="shared" si="48"/>
        <v>176380</v>
      </c>
      <c r="L153" s="7">
        <f t="shared" si="48"/>
        <v>655900</v>
      </c>
    </row>
    <row r="154" spans="1:12" x14ac:dyDescent="0.3">
      <c r="A154" s="262" t="s">
        <v>66</v>
      </c>
      <c r="B154" s="264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08">
        <v>613496</v>
      </c>
      <c r="L154" s="3">
        <f t="shared" ref="L154:L155" si="50">J154-K154</f>
        <v>219132</v>
      </c>
    </row>
    <row r="155" spans="1:12" x14ac:dyDescent="0.3">
      <c r="A155" s="263"/>
      <c r="B155" s="265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08">
        <v>116851</v>
      </c>
      <c r="L155" s="3">
        <f t="shared" si="50"/>
        <v>38559</v>
      </c>
    </row>
    <row r="156" spans="1:12" x14ac:dyDescent="0.3">
      <c r="A156" s="346" t="s">
        <v>79</v>
      </c>
      <c r="B156" s="347"/>
      <c r="C156" s="348"/>
      <c r="D156" s="122">
        <f>SUM(D143+D144+D153+D154+D155)</f>
        <v>8091236</v>
      </c>
      <c r="E156" s="122">
        <f t="shared" ref="E156:L156" si="51">SUM(E143+E144+E153+E154+E155)</f>
        <v>8102684</v>
      </c>
      <c r="F156" s="122">
        <f t="shared" si="51"/>
        <v>0</v>
      </c>
      <c r="G156" s="122">
        <f t="shared" si="51"/>
        <v>381216</v>
      </c>
      <c r="H156" s="122">
        <f t="shared" si="51"/>
        <v>0</v>
      </c>
      <c r="I156" s="122">
        <f t="shared" si="51"/>
        <v>0</v>
      </c>
      <c r="J156" s="122">
        <f t="shared" si="51"/>
        <v>8483900</v>
      </c>
      <c r="K156" s="124">
        <f t="shared" si="51"/>
        <v>5364308</v>
      </c>
      <c r="L156" s="122">
        <f t="shared" si="51"/>
        <v>3119592</v>
      </c>
    </row>
    <row r="157" spans="1:12" x14ac:dyDescent="0.3">
      <c r="A157" s="254" t="s">
        <v>55</v>
      </c>
      <c r="B157" s="261" t="s">
        <v>23</v>
      </c>
      <c r="C157" s="10" t="s">
        <v>24</v>
      </c>
      <c r="D157" s="24">
        <v>5055869</v>
      </c>
      <c r="E157" s="24">
        <v>5055869</v>
      </c>
      <c r="F157" s="11">
        <v>-50000</v>
      </c>
      <c r="G157" s="11">
        <v>269597</v>
      </c>
      <c r="H157" s="11"/>
      <c r="I157" s="11"/>
      <c r="J157" s="20">
        <f t="shared" ref="J157:J162" si="52">E157+F157+G157+H157+I157</f>
        <v>5275466</v>
      </c>
      <c r="K157" s="108">
        <v>3660996</v>
      </c>
      <c r="L157" s="3">
        <f t="shared" ref="L157:L162" si="53">J157-K157</f>
        <v>1614470</v>
      </c>
    </row>
    <row r="158" spans="1:12" x14ac:dyDescent="0.3">
      <c r="A158" s="254"/>
      <c r="B158" s="261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08">
        <v>302500</v>
      </c>
      <c r="L158" s="3">
        <f t="shared" si="53"/>
        <v>122500</v>
      </c>
    </row>
    <row r="159" spans="1:12" x14ac:dyDescent="0.3">
      <c r="A159" s="254"/>
      <c r="B159" s="261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08">
        <v>0</v>
      </c>
      <c r="L159" s="3">
        <f t="shared" si="53"/>
        <v>10000</v>
      </c>
    </row>
    <row r="160" spans="1:12" x14ac:dyDescent="0.3">
      <c r="A160" s="254"/>
      <c r="B160" s="261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08">
        <v>12000</v>
      </c>
      <c r="L160" s="3">
        <f t="shared" si="53"/>
        <v>12000</v>
      </c>
    </row>
    <row r="161" spans="1:12" x14ac:dyDescent="0.3">
      <c r="A161" s="254"/>
      <c r="B161" s="261"/>
      <c r="C161" s="10" t="s">
        <v>29</v>
      </c>
      <c r="D161" s="24">
        <v>75000</v>
      </c>
      <c r="E161" s="24">
        <v>75000</v>
      </c>
      <c r="F161" s="11">
        <v>50000</v>
      </c>
      <c r="G161" s="11"/>
      <c r="H161" s="11"/>
      <c r="I161" s="11"/>
      <c r="J161" s="20">
        <f t="shared" si="52"/>
        <v>125000</v>
      </c>
      <c r="K161" s="108">
        <v>0</v>
      </c>
      <c r="L161" s="3">
        <f t="shared" si="53"/>
        <v>125000</v>
      </c>
    </row>
    <row r="162" spans="1:12" x14ac:dyDescent="0.3">
      <c r="A162" s="254"/>
      <c r="B162" s="261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08">
        <v>0</v>
      </c>
      <c r="L162" s="3">
        <f t="shared" si="53"/>
        <v>0</v>
      </c>
    </row>
    <row r="163" spans="1:12" x14ac:dyDescent="0.3">
      <c r="A163" s="254"/>
      <c r="B163" s="261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269597</v>
      </c>
      <c r="H163" s="7">
        <f t="shared" si="54"/>
        <v>0</v>
      </c>
      <c r="I163" s="7">
        <f t="shared" si="54"/>
        <v>0</v>
      </c>
      <c r="J163" s="7">
        <f t="shared" si="54"/>
        <v>5859466</v>
      </c>
      <c r="K163" s="110">
        <f t="shared" si="54"/>
        <v>3975496</v>
      </c>
      <c r="L163" s="7">
        <f t="shared" si="54"/>
        <v>1883970</v>
      </c>
    </row>
    <row r="164" spans="1:12" x14ac:dyDescent="0.3">
      <c r="A164" s="254"/>
      <c r="B164" s="261"/>
      <c r="C164" s="82" t="s">
        <v>31</v>
      </c>
      <c r="D164" s="83">
        <v>1124913</v>
      </c>
      <c r="E164" s="83">
        <v>1124913</v>
      </c>
      <c r="F164" s="83"/>
      <c r="G164" s="83">
        <v>52571</v>
      </c>
      <c r="H164" s="83"/>
      <c r="I164" s="83"/>
      <c r="J164" s="84">
        <f t="shared" ref="J164:J173" si="55">E164+F164+G164+H164+I164</f>
        <v>1177484</v>
      </c>
      <c r="K164" s="111">
        <v>811885</v>
      </c>
      <c r="L164" s="85">
        <f t="shared" ref="L164:L173" si="56">J164-K164</f>
        <v>365599</v>
      </c>
    </row>
    <row r="165" spans="1:12" x14ac:dyDescent="0.3">
      <c r="A165" s="254"/>
      <c r="B165" s="261"/>
      <c r="C165" s="10" t="s">
        <v>32</v>
      </c>
      <c r="D165" s="24">
        <v>100000</v>
      </c>
      <c r="E165" s="24">
        <v>100000</v>
      </c>
      <c r="F165" s="11">
        <v>-50000</v>
      </c>
      <c r="G165" s="11"/>
      <c r="H165" s="11"/>
      <c r="I165" s="11"/>
      <c r="J165" s="20">
        <f t="shared" si="55"/>
        <v>50000</v>
      </c>
      <c r="K165" s="108">
        <v>0</v>
      </c>
      <c r="L165" s="3">
        <f t="shared" si="56"/>
        <v>50000</v>
      </c>
    </row>
    <row r="166" spans="1:12" x14ac:dyDescent="0.3">
      <c r="A166" s="254"/>
      <c r="B166" s="261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08">
        <v>4536</v>
      </c>
      <c r="L166" s="3">
        <f t="shared" si="56"/>
        <v>95464</v>
      </c>
    </row>
    <row r="167" spans="1:12" x14ac:dyDescent="0.3">
      <c r="A167" s="254"/>
      <c r="B167" s="261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08">
        <v>0</v>
      </c>
      <c r="L167" s="3">
        <f t="shared" si="56"/>
        <v>100000</v>
      </c>
    </row>
    <row r="168" spans="1:12" x14ac:dyDescent="0.3">
      <c r="A168" s="254"/>
      <c r="B168" s="261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08">
        <v>0</v>
      </c>
      <c r="L168" s="3">
        <f t="shared" si="56"/>
        <v>50000</v>
      </c>
    </row>
    <row r="169" spans="1:12" x14ac:dyDescent="0.3">
      <c r="A169" s="254"/>
      <c r="B169" s="261"/>
      <c r="C169" s="10" t="s">
        <v>38</v>
      </c>
      <c r="D169" s="24">
        <v>140000</v>
      </c>
      <c r="E169" s="24">
        <v>136600</v>
      </c>
      <c r="F169" s="135"/>
      <c r="G169" s="11"/>
      <c r="H169" s="11"/>
      <c r="I169" s="11"/>
      <c r="J169" s="20">
        <f t="shared" si="55"/>
        <v>136600</v>
      </c>
      <c r="K169" s="108">
        <v>30190</v>
      </c>
      <c r="L169" s="3">
        <f t="shared" si="56"/>
        <v>106410</v>
      </c>
    </row>
    <row r="170" spans="1:12" x14ac:dyDescent="0.3">
      <c r="A170" s="254"/>
      <c r="B170" s="261"/>
      <c r="C170" s="10" t="s">
        <v>40</v>
      </c>
      <c r="D170" s="24">
        <v>15000</v>
      </c>
      <c r="E170" s="24">
        <v>18400</v>
      </c>
      <c r="F170" s="135"/>
      <c r="G170" s="11"/>
      <c r="H170" s="11"/>
      <c r="I170" s="11"/>
      <c r="J170" s="20">
        <f t="shared" si="55"/>
        <v>18400</v>
      </c>
      <c r="K170" s="108">
        <v>6350</v>
      </c>
      <c r="L170" s="3">
        <f t="shared" si="56"/>
        <v>12050</v>
      </c>
    </row>
    <row r="171" spans="1:12" x14ac:dyDescent="0.3">
      <c r="A171" s="254"/>
      <c r="B171" s="261"/>
      <c r="C171" s="10" t="s">
        <v>41</v>
      </c>
      <c r="D171" s="24">
        <v>80000</v>
      </c>
      <c r="E171" s="24">
        <v>94188</v>
      </c>
      <c r="F171" s="11">
        <v>50000</v>
      </c>
      <c r="G171" s="11"/>
      <c r="H171" s="11"/>
      <c r="I171" s="11"/>
      <c r="J171" s="20">
        <f t="shared" si="55"/>
        <v>144188</v>
      </c>
      <c r="K171" s="108">
        <v>93868</v>
      </c>
      <c r="L171" s="3">
        <f t="shared" si="56"/>
        <v>50320</v>
      </c>
    </row>
    <row r="172" spans="1:12" x14ac:dyDescent="0.3">
      <c r="A172" s="254"/>
      <c r="B172" s="261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08">
        <v>198795</v>
      </c>
      <c r="L172" s="3">
        <f t="shared" si="56"/>
        <v>41205</v>
      </c>
    </row>
    <row r="173" spans="1:12" x14ac:dyDescent="0.3">
      <c r="A173" s="254"/>
      <c r="B173" s="261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5"/>
        <v>128712</v>
      </c>
      <c r="K173" s="108">
        <v>22031</v>
      </c>
      <c r="L173" s="3">
        <f t="shared" si="56"/>
        <v>106681</v>
      </c>
    </row>
    <row r="174" spans="1:12" x14ac:dyDescent="0.3">
      <c r="A174" s="254"/>
      <c r="B174" s="261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0">
        <f t="shared" si="57"/>
        <v>355770</v>
      </c>
      <c r="L174" s="7">
        <f t="shared" si="57"/>
        <v>612130</v>
      </c>
    </row>
    <row r="175" spans="1:12" x14ac:dyDescent="0.3">
      <c r="A175" s="262" t="s">
        <v>67</v>
      </c>
      <c r="B175" s="264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08">
        <v>55500</v>
      </c>
      <c r="L175" s="3">
        <f t="shared" ref="L175:L191" si="59">J175-K175</f>
        <v>101700</v>
      </c>
    </row>
    <row r="176" spans="1:12" x14ac:dyDescent="0.3">
      <c r="A176" s="263"/>
      <c r="B176" s="265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08">
        <v>10612</v>
      </c>
      <c r="L176" s="3">
        <f t="shared" si="59"/>
        <v>18601</v>
      </c>
    </row>
    <row r="177" spans="1:12" x14ac:dyDescent="0.3">
      <c r="A177" s="262" t="s">
        <v>75</v>
      </c>
      <c r="B177" s="264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08">
        <v>1232252</v>
      </c>
      <c r="L177" s="3">
        <f t="shared" si="59"/>
        <v>372257</v>
      </c>
    </row>
    <row r="178" spans="1:12" x14ac:dyDescent="0.3">
      <c r="A178" s="263"/>
      <c r="B178" s="265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08">
        <v>234787</v>
      </c>
      <c r="L178" s="3">
        <f t="shared" si="59"/>
        <v>64332</v>
      </c>
    </row>
    <row r="179" spans="1:12" x14ac:dyDescent="0.3">
      <c r="A179" s="345" t="s">
        <v>80</v>
      </c>
      <c r="B179" s="345"/>
      <c r="C179" s="345"/>
      <c r="D179" s="123">
        <f>SUM(D163+D164+D174+D175+D176+D177+D178)</f>
        <v>9772723</v>
      </c>
      <c r="E179" s="123">
        <f t="shared" ref="E179:L179" si="60">SUM(E163+E164+E174+E175+E176+E177+E178)</f>
        <v>9772723</v>
      </c>
      <c r="F179" s="123">
        <f t="shared" si="60"/>
        <v>0</v>
      </c>
      <c r="G179" s="123">
        <f t="shared" si="60"/>
        <v>322168</v>
      </c>
      <c r="H179" s="123">
        <f t="shared" si="60"/>
        <v>0</v>
      </c>
      <c r="I179" s="123">
        <f t="shared" si="60"/>
        <v>0</v>
      </c>
      <c r="J179" s="123">
        <f t="shared" si="60"/>
        <v>10094891</v>
      </c>
      <c r="K179" s="124">
        <f t="shared" si="60"/>
        <v>6676302</v>
      </c>
      <c r="L179" s="123">
        <f t="shared" si="60"/>
        <v>3418589</v>
      </c>
    </row>
    <row r="180" spans="1:12" x14ac:dyDescent="0.3">
      <c r="A180" s="254" t="s">
        <v>15</v>
      </c>
      <c r="B180" s="264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3">
      <c r="A181" s="254"/>
      <c r="B181" s="268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3">
      <c r="A182" s="254"/>
      <c r="B182" s="268"/>
      <c r="C182" s="6" t="s">
        <v>53</v>
      </c>
      <c r="D182" s="7">
        <f>D180+D181</f>
        <v>11144060</v>
      </c>
      <c r="E182" s="7">
        <v>11144060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3">
        <f t="shared" si="61"/>
        <v>8187749</v>
      </c>
      <c r="L182" s="7">
        <f t="shared" si="61"/>
        <v>2956311</v>
      </c>
    </row>
    <row r="183" spans="1:12" x14ac:dyDescent="0.3">
      <c r="A183" s="254"/>
      <c r="B183" s="268"/>
      <c r="C183" s="82" t="s">
        <v>31</v>
      </c>
      <c r="D183" s="83">
        <v>2295657</v>
      </c>
      <c r="E183" s="83">
        <v>6570207</v>
      </c>
      <c r="F183" s="83"/>
      <c r="G183" s="83"/>
      <c r="H183" s="83"/>
      <c r="I183" s="83"/>
      <c r="J183" s="85">
        <f t="shared" si="58"/>
        <v>6570207</v>
      </c>
      <c r="K183" s="111">
        <v>4345532</v>
      </c>
      <c r="L183" s="85">
        <f t="shared" si="59"/>
        <v>2224675</v>
      </c>
    </row>
    <row r="184" spans="1:12" x14ac:dyDescent="0.3">
      <c r="A184" s="254"/>
      <c r="B184" s="268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8"/>
        <v>232959</v>
      </c>
      <c r="K184" s="108">
        <v>232959</v>
      </c>
      <c r="L184" s="3">
        <f t="shared" si="59"/>
        <v>0</v>
      </c>
    </row>
    <row r="185" spans="1:12" x14ac:dyDescent="0.3">
      <c r="A185" s="254"/>
      <c r="B185" s="268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08">
        <v>0</v>
      </c>
      <c r="L185" s="3">
        <f t="shared" si="59"/>
        <v>230000</v>
      </c>
    </row>
    <row r="186" spans="1:12" x14ac:dyDescent="0.3">
      <c r="A186" s="254"/>
      <c r="B186" s="268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08">
        <v>0</v>
      </c>
      <c r="L186" s="3">
        <f t="shared" si="59"/>
        <v>14850000</v>
      </c>
    </row>
    <row r="187" spans="1:12" x14ac:dyDescent="0.3">
      <c r="A187" s="254"/>
      <c r="B187" s="268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8"/>
        <v>12427045</v>
      </c>
      <c r="K187" s="108">
        <v>5250010</v>
      </c>
      <c r="L187" s="3">
        <f t="shared" si="59"/>
        <v>7177035</v>
      </c>
    </row>
    <row r="188" spans="1:12" x14ac:dyDescent="0.3">
      <c r="A188" s="254"/>
      <c r="B188" s="268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08">
        <v>38298</v>
      </c>
      <c r="L188" s="3">
        <f t="shared" si="59"/>
        <v>191702</v>
      </c>
    </row>
    <row r="189" spans="1:12" x14ac:dyDescent="0.3">
      <c r="A189" s="254"/>
      <c r="B189" s="268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08">
        <v>0</v>
      </c>
      <c r="L189" s="3">
        <f t="shared" si="59"/>
        <v>230000</v>
      </c>
    </row>
    <row r="190" spans="1:12" x14ac:dyDescent="0.3">
      <c r="A190" s="254"/>
      <c r="B190" s="268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08">
        <v>1480399</v>
      </c>
      <c r="L190" s="3">
        <f t="shared" si="59"/>
        <v>1965148</v>
      </c>
    </row>
    <row r="191" spans="1:12" x14ac:dyDescent="0.3">
      <c r="A191" s="254"/>
      <c r="B191" s="268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08">
        <v>0</v>
      </c>
      <c r="L191" s="3">
        <f t="shared" si="59"/>
        <v>229990</v>
      </c>
    </row>
    <row r="192" spans="1:12" x14ac:dyDescent="0.3">
      <c r="A192" s="254"/>
      <c r="B192" s="268"/>
      <c r="C192" s="6" t="s">
        <v>49</v>
      </c>
      <c r="D192" s="7">
        <f>SUM(D184:D191)</f>
        <v>46650091</v>
      </c>
      <c r="E192" s="7">
        <v>31875541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0">
        <f t="shared" si="62"/>
        <v>7001666</v>
      </c>
      <c r="L192" s="7">
        <f t="shared" si="62"/>
        <v>24873875</v>
      </c>
    </row>
    <row r="193" spans="1:12" x14ac:dyDescent="0.3">
      <c r="A193" s="254"/>
      <c r="B193" s="268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08">
        <v>0</v>
      </c>
      <c r="L193" s="3">
        <f t="shared" ref="L193:L195" si="64">J193-K193</f>
        <v>0</v>
      </c>
    </row>
    <row r="194" spans="1:12" x14ac:dyDescent="0.3">
      <c r="A194" s="254"/>
      <c r="B194" s="268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08">
        <v>0</v>
      </c>
      <c r="L194" s="3">
        <f t="shared" si="64"/>
        <v>3740</v>
      </c>
    </row>
    <row r="195" spans="1:12" x14ac:dyDescent="0.3">
      <c r="A195" s="254"/>
      <c r="B195" s="268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08">
        <v>0</v>
      </c>
      <c r="L195" s="3">
        <f t="shared" si="64"/>
        <v>1010</v>
      </c>
    </row>
    <row r="196" spans="1:12" x14ac:dyDescent="0.3">
      <c r="A196" s="254"/>
      <c r="B196" s="268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0">
        <f t="shared" si="65"/>
        <v>0</v>
      </c>
      <c r="L196" s="7">
        <f t="shared" si="65"/>
        <v>4750</v>
      </c>
    </row>
    <row r="197" spans="1:12" x14ac:dyDescent="0.3">
      <c r="A197" s="254"/>
      <c r="B197" s="265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08">
        <v>10500000</v>
      </c>
      <c r="L197" s="3">
        <f t="shared" ref="L197" si="67">J197-K197</f>
        <v>0</v>
      </c>
    </row>
    <row r="198" spans="1:12" x14ac:dyDescent="0.3">
      <c r="A198" s="346" t="s">
        <v>81</v>
      </c>
      <c r="B198" s="347"/>
      <c r="C198" s="348"/>
      <c r="D198" s="122">
        <f>SUM(D182+D183+D192+D196+D197)</f>
        <v>60094558</v>
      </c>
      <c r="E198" s="122">
        <f t="shared" ref="E198:L198" si="68">SUM(E182+E183+E192+E196+E197)</f>
        <v>60094558</v>
      </c>
      <c r="F198" s="122">
        <f t="shared" si="68"/>
        <v>0</v>
      </c>
      <c r="G198" s="122">
        <f t="shared" si="68"/>
        <v>0</v>
      </c>
      <c r="H198" s="122">
        <f t="shared" si="68"/>
        <v>0</v>
      </c>
      <c r="I198" s="122">
        <f t="shared" si="68"/>
        <v>0</v>
      </c>
      <c r="J198" s="122">
        <f t="shared" si="68"/>
        <v>60094558</v>
      </c>
      <c r="K198" s="124">
        <f t="shared" si="68"/>
        <v>30034947</v>
      </c>
      <c r="L198" s="122">
        <f t="shared" si="68"/>
        <v>30059611</v>
      </c>
    </row>
    <row r="199" spans="1:12" x14ac:dyDescent="0.3">
      <c r="A199" s="285" t="s">
        <v>85</v>
      </c>
      <c r="B199" s="264" t="s">
        <v>46</v>
      </c>
      <c r="C199" s="12" t="s">
        <v>24</v>
      </c>
      <c r="D199" s="3">
        <v>9880165</v>
      </c>
      <c r="E199" s="3">
        <v>9662762</v>
      </c>
      <c r="F199" s="3">
        <v>-100000</v>
      </c>
      <c r="G199" s="3"/>
      <c r="H199" s="3"/>
      <c r="I199" s="3"/>
      <c r="J199" s="20">
        <f t="shared" ref="J199:J204" si="69">E199+F199+G199+H199+I199</f>
        <v>9562762</v>
      </c>
      <c r="K199" s="108">
        <v>6754931</v>
      </c>
      <c r="L199" s="3">
        <f t="shared" ref="L199:L204" si="70">J199-K199</f>
        <v>2807831</v>
      </c>
    </row>
    <row r="200" spans="1:12" x14ac:dyDescent="0.3">
      <c r="A200" s="285"/>
      <c r="B200" s="268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08">
        <v>200000</v>
      </c>
      <c r="L200" s="3">
        <f t="shared" si="70"/>
        <v>200000</v>
      </c>
    </row>
    <row r="201" spans="1:12" x14ac:dyDescent="0.3">
      <c r="A201" s="285"/>
      <c r="B201" s="268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08">
        <v>0</v>
      </c>
      <c r="L201" s="3">
        <f t="shared" si="70"/>
        <v>20000</v>
      </c>
    </row>
    <row r="202" spans="1:12" x14ac:dyDescent="0.3">
      <c r="A202" s="285"/>
      <c r="B202" s="268"/>
      <c r="C202" s="2" t="s">
        <v>27</v>
      </c>
      <c r="D202" s="3">
        <v>75000</v>
      </c>
      <c r="E202" s="3">
        <v>90912</v>
      </c>
      <c r="F202" s="3"/>
      <c r="G202" s="3"/>
      <c r="H202" s="3"/>
      <c r="I202" s="3"/>
      <c r="J202" s="20">
        <f t="shared" si="69"/>
        <v>90912</v>
      </c>
      <c r="K202" s="108">
        <v>18666</v>
      </c>
      <c r="L202" s="3">
        <f t="shared" si="70"/>
        <v>72246</v>
      </c>
    </row>
    <row r="203" spans="1:12" x14ac:dyDescent="0.3">
      <c r="A203" s="285"/>
      <c r="B203" s="268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08">
        <v>24000</v>
      </c>
      <c r="L203" s="3">
        <f t="shared" si="70"/>
        <v>24000</v>
      </c>
    </row>
    <row r="204" spans="1:12" x14ac:dyDescent="0.3">
      <c r="A204" s="285"/>
      <c r="B204" s="268"/>
      <c r="C204" s="2" t="s">
        <v>29</v>
      </c>
      <c r="D204" s="3">
        <v>264000</v>
      </c>
      <c r="E204" s="3">
        <v>570126</v>
      </c>
      <c r="F204" s="3">
        <v>100000</v>
      </c>
      <c r="G204" s="3"/>
      <c r="H204" s="3"/>
      <c r="I204" s="3"/>
      <c r="J204" s="20">
        <f t="shared" si="69"/>
        <v>670126</v>
      </c>
      <c r="K204" s="108">
        <v>478606</v>
      </c>
      <c r="L204" s="3">
        <f t="shared" si="70"/>
        <v>191520</v>
      </c>
    </row>
    <row r="205" spans="1:12" x14ac:dyDescent="0.3">
      <c r="A205" s="285"/>
      <c r="B205" s="268"/>
      <c r="C205" s="26" t="s">
        <v>53</v>
      </c>
      <c r="D205" s="7">
        <f>SUM(D199:D204)</f>
        <v>10687165</v>
      </c>
      <c r="E205" s="7">
        <v>10791800</v>
      </c>
      <c r="F205" s="7">
        <f t="shared" ref="F205:L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0">
        <f t="shared" si="71"/>
        <v>7476203</v>
      </c>
      <c r="L205" s="7">
        <f t="shared" si="71"/>
        <v>3315597</v>
      </c>
    </row>
    <row r="206" spans="1:12" x14ac:dyDescent="0.3">
      <c r="A206" s="285"/>
      <c r="B206" s="268"/>
      <c r="C206" s="86" t="s">
        <v>31</v>
      </c>
      <c r="D206" s="87">
        <v>2120857</v>
      </c>
      <c r="E206" s="87">
        <v>2120857</v>
      </c>
      <c r="F206" s="88"/>
      <c r="G206" s="88"/>
      <c r="H206" s="88"/>
      <c r="I206" s="88"/>
      <c r="J206" s="84">
        <f t="shared" ref="J206:J213" si="72">E206+F206+G206+H206+I206</f>
        <v>2120857</v>
      </c>
      <c r="K206" s="111">
        <v>1460306</v>
      </c>
      <c r="L206" s="85">
        <f t="shared" ref="L206:L213" si="73">J206-K206</f>
        <v>660551</v>
      </c>
    </row>
    <row r="207" spans="1:12" x14ac:dyDescent="0.3">
      <c r="A207" s="285"/>
      <c r="B207" s="268"/>
      <c r="C207" s="99" t="s">
        <v>33</v>
      </c>
      <c r="D207" s="100">
        <v>0</v>
      </c>
      <c r="E207" s="100">
        <v>186928</v>
      </c>
      <c r="F207" s="100"/>
      <c r="G207" s="100"/>
      <c r="H207" s="100"/>
      <c r="I207" s="100"/>
      <c r="J207" s="20">
        <f t="shared" si="72"/>
        <v>186928</v>
      </c>
      <c r="K207" s="114">
        <v>30769</v>
      </c>
      <c r="L207" s="3">
        <f t="shared" si="73"/>
        <v>156159</v>
      </c>
    </row>
    <row r="208" spans="1:12" x14ac:dyDescent="0.3">
      <c r="A208" s="285"/>
      <c r="B208" s="268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4">
        <v>32902</v>
      </c>
      <c r="L208" s="3">
        <f t="shared" si="73"/>
        <v>139898</v>
      </c>
    </row>
    <row r="209" spans="1:12" x14ac:dyDescent="0.3">
      <c r="A209" s="285"/>
      <c r="B209" s="268"/>
      <c r="C209" s="98" t="s">
        <v>38</v>
      </c>
      <c r="D209" s="47">
        <v>0</v>
      </c>
      <c r="E209" s="47">
        <v>3500</v>
      </c>
      <c r="F209" s="47">
        <v>5000</v>
      </c>
      <c r="G209" s="47"/>
      <c r="H209" s="47"/>
      <c r="I209" s="47"/>
      <c r="J209" s="20">
        <f t="shared" si="72"/>
        <v>8500</v>
      </c>
      <c r="K209" s="114">
        <v>3500</v>
      </c>
      <c r="L209" s="3">
        <f t="shared" si="73"/>
        <v>5000</v>
      </c>
    </row>
    <row r="210" spans="1:12" x14ac:dyDescent="0.3">
      <c r="A210" s="285"/>
      <c r="B210" s="268"/>
      <c r="C210" s="131" t="s">
        <v>41</v>
      </c>
      <c r="D210" s="47">
        <v>0</v>
      </c>
      <c r="E210" s="47">
        <v>1685</v>
      </c>
      <c r="F210" s="47">
        <v>20000</v>
      </c>
      <c r="G210" s="47"/>
      <c r="H210" s="47"/>
      <c r="I210" s="47"/>
      <c r="J210" s="20">
        <f t="shared" si="72"/>
        <v>21685</v>
      </c>
      <c r="K210" s="114">
        <v>1685</v>
      </c>
      <c r="L210" s="3">
        <f t="shared" si="73"/>
        <v>20000</v>
      </c>
    </row>
    <row r="211" spans="1:12" x14ac:dyDescent="0.3">
      <c r="A211" s="285"/>
      <c r="B211" s="268"/>
      <c r="C211" s="46" t="s">
        <v>42</v>
      </c>
      <c r="D211" s="47">
        <v>0</v>
      </c>
      <c r="E211" s="47">
        <v>78910</v>
      </c>
      <c r="F211" s="47">
        <v>50000</v>
      </c>
      <c r="G211" s="47"/>
      <c r="H211" s="47"/>
      <c r="I211" s="47"/>
      <c r="J211" s="20">
        <f t="shared" si="72"/>
        <v>128910</v>
      </c>
      <c r="K211" s="114">
        <v>80460</v>
      </c>
      <c r="L211" s="3">
        <f t="shared" si="73"/>
        <v>48450</v>
      </c>
    </row>
    <row r="212" spans="1:12" x14ac:dyDescent="0.3">
      <c r="A212" s="285"/>
      <c r="B212" s="268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4">
        <v>37707</v>
      </c>
      <c r="L212" s="3">
        <f t="shared" si="73"/>
        <v>73849</v>
      </c>
    </row>
    <row r="213" spans="1:12" x14ac:dyDescent="0.3">
      <c r="A213" s="285"/>
      <c r="B213" s="268"/>
      <c r="C213" s="46" t="s">
        <v>45</v>
      </c>
      <c r="D213" s="47">
        <v>0</v>
      </c>
      <c r="E213" s="47">
        <v>303254</v>
      </c>
      <c r="F213" s="47"/>
      <c r="G213" s="47"/>
      <c r="H213" s="47"/>
      <c r="I213" s="47"/>
      <c r="J213" s="20">
        <f t="shared" si="72"/>
        <v>303254</v>
      </c>
      <c r="K213" s="114">
        <v>210879</v>
      </c>
      <c r="L213" s="3">
        <f t="shared" si="73"/>
        <v>92375</v>
      </c>
    </row>
    <row r="214" spans="1:12" x14ac:dyDescent="0.3">
      <c r="A214" s="263"/>
      <c r="B214" s="265"/>
      <c r="C214" s="49" t="s">
        <v>49</v>
      </c>
      <c r="D214" s="50">
        <f>SUM(D207:D213)</f>
        <v>0</v>
      </c>
      <c r="E214" s="50">
        <v>858633</v>
      </c>
      <c r="F214" s="50">
        <f t="shared" ref="F214:L214" si="74">SUM(F207:F213)</f>
        <v>75000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933633</v>
      </c>
      <c r="K214" s="115">
        <f>SUM(K207:K213)</f>
        <v>397902</v>
      </c>
      <c r="L214" s="50">
        <f t="shared" si="74"/>
        <v>535731</v>
      </c>
    </row>
    <row r="215" spans="1:12" x14ac:dyDescent="0.3">
      <c r="A215" s="254" t="s">
        <v>68</v>
      </c>
      <c r="B215" s="279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08">
        <v>1897378</v>
      </c>
      <c r="L215" s="3">
        <f t="shared" ref="L215:L216" si="75">J215-K215</f>
        <v>604178</v>
      </c>
    </row>
    <row r="216" spans="1:12" x14ac:dyDescent="0.3">
      <c r="A216" s="262"/>
      <c r="B216" s="280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08">
        <v>361130</v>
      </c>
      <c r="L216" s="3">
        <f t="shared" si="75"/>
        <v>105439</v>
      </c>
    </row>
    <row r="217" spans="1:12" x14ac:dyDescent="0.3">
      <c r="A217" s="346" t="s">
        <v>82</v>
      </c>
      <c r="B217" s="347"/>
      <c r="C217" s="348"/>
      <c r="D217" s="125">
        <f>SUM(D205+D206+D215+D216+D214)</f>
        <v>15776147</v>
      </c>
      <c r="E217" s="125">
        <f t="shared" ref="E217:I217" si="77">SUM(E205+E206+E215+E216+E214)</f>
        <v>16739415</v>
      </c>
      <c r="F217" s="125">
        <f t="shared" si="77"/>
        <v>75000</v>
      </c>
      <c r="G217" s="125">
        <f t="shared" si="77"/>
        <v>0</v>
      </c>
      <c r="H217" s="125">
        <f t="shared" si="77"/>
        <v>0</v>
      </c>
      <c r="I217" s="125">
        <f t="shared" si="77"/>
        <v>0</v>
      </c>
      <c r="J217" s="125">
        <f>SUM(J205+J206+J215+J216+J214)</f>
        <v>16814415</v>
      </c>
      <c r="K217" s="126">
        <f>SUM(K205+K206+K215+K216+K214)</f>
        <v>11592919</v>
      </c>
      <c r="L217" s="127">
        <f>SUM(L205+L206+L215+L216+L214)</f>
        <v>5221496</v>
      </c>
    </row>
    <row r="218" spans="1:12" ht="30.75" customHeight="1" x14ac:dyDescent="0.3">
      <c r="A218" s="349" t="s">
        <v>74</v>
      </c>
      <c r="B218" s="350"/>
      <c r="C218" s="351"/>
      <c r="D218" s="128">
        <f t="shared" ref="D218:K218" si="78">SUM(D88+D113+D135+D156+D179+D198+D217)</f>
        <v>230443641</v>
      </c>
      <c r="E218" s="128">
        <f t="shared" si="78"/>
        <v>230521849</v>
      </c>
      <c r="F218" s="128">
        <f t="shared" si="78"/>
        <v>0</v>
      </c>
      <c r="G218" s="128">
        <f t="shared" si="78"/>
        <v>1233067</v>
      </c>
      <c r="H218" s="128">
        <f t="shared" si="78"/>
        <v>20000</v>
      </c>
      <c r="I218" s="128">
        <f t="shared" si="78"/>
        <v>0</v>
      </c>
      <c r="J218" s="128">
        <f t="shared" si="78"/>
        <v>231774916</v>
      </c>
      <c r="K218" s="129">
        <f t="shared" si="78"/>
        <v>142141309</v>
      </c>
      <c r="L218" s="128">
        <f>SUM(L88+L113+L135+L156+L179+L198+L217)</f>
        <v>89633607</v>
      </c>
    </row>
    <row r="219" spans="1:12" x14ac:dyDescent="0.3">
      <c r="B219" s="5"/>
      <c r="E219" s="4"/>
      <c r="F219" s="4"/>
      <c r="G219" s="4"/>
      <c r="H219" s="4"/>
      <c r="I219" s="4"/>
      <c r="J219" s="4"/>
      <c r="K219" s="107"/>
    </row>
    <row r="220" spans="1:12" x14ac:dyDescent="0.3">
      <c r="B220" s="5"/>
      <c r="E220" s="4"/>
      <c r="F220" s="4"/>
      <c r="G220" s="4"/>
      <c r="H220" s="4"/>
      <c r="I220" s="4"/>
      <c r="J220" s="4"/>
      <c r="K220" s="107"/>
    </row>
    <row r="221" spans="1:12" x14ac:dyDescent="0.3">
      <c r="B221" s="5"/>
      <c r="E221" s="4"/>
      <c r="F221" s="4"/>
      <c r="G221" s="4"/>
      <c r="H221" s="4"/>
      <c r="I221" s="4"/>
      <c r="J221" s="4"/>
      <c r="K221" s="107"/>
    </row>
    <row r="222" spans="1:12" x14ac:dyDescent="0.3">
      <c r="B222" s="5"/>
      <c r="E222" s="4"/>
      <c r="F222" s="4"/>
      <c r="G222" s="4"/>
      <c r="H222" s="4"/>
      <c r="I222" s="4"/>
      <c r="J222" s="4"/>
      <c r="K222" s="107"/>
    </row>
    <row r="223" spans="1:12" x14ac:dyDescent="0.3">
      <c r="B223" s="5"/>
      <c r="E223" s="4"/>
      <c r="F223" s="4"/>
      <c r="G223" s="4"/>
      <c r="H223" s="4"/>
      <c r="I223" s="4"/>
      <c r="J223" s="4"/>
      <c r="K223" s="107"/>
    </row>
    <row r="224" spans="1:12" ht="15" thickBot="1" x14ac:dyDescent="0.35">
      <c r="B224" s="5"/>
      <c r="E224" s="4"/>
      <c r="F224" s="4"/>
      <c r="G224" s="130">
        <v>43738</v>
      </c>
      <c r="H224" s="4"/>
      <c r="I224" s="4"/>
      <c r="J224" s="4"/>
      <c r="K224" s="107"/>
    </row>
    <row r="225" spans="1:11" ht="15" thickTop="1" x14ac:dyDescent="0.3">
      <c r="A225" s="283" t="s">
        <v>83</v>
      </c>
      <c r="B225" s="283"/>
      <c r="C225" s="283"/>
      <c r="D225" s="283"/>
      <c r="E225" s="283"/>
      <c r="F225" s="283"/>
      <c r="G225" s="283"/>
      <c r="H225" s="283"/>
      <c r="I225" s="283"/>
      <c r="J225" s="283"/>
      <c r="K225" s="283"/>
    </row>
    <row r="226" spans="1:11" s="75" customFormat="1" ht="33.75" customHeight="1" x14ac:dyDescent="0.3">
      <c r="A226" s="323" t="s">
        <v>0</v>
      </c>
      <c r="B226" s="324"/>
      <c r="C226" s="71" t="s">
        <v>3</v>
      </c>
      <c r="D226" s="71" t="s">
        <v>4</v>
      </c>
      <c r="E226" s="73" t="s">
        <v>111</v>
      </c>
      <c r="F226" s="72" t="s">
        <v>70</v>
      </c>
      <c r="G226" s="105" t="s">
        <v>71</v>
      </c>
      <c r="H226" s="106" t="s">
        <v>71</v>
      </c>
      <c r="I226" s="73" t="s">
        <v>71</v>
      </c>
      <c r="J226" s="73" t="s">
        <v>115</v>
      </c>
      <c r="K226" s="74" t="s">
        <v>118</v>
      </c>
    </row>
    <row r="227" spans="1:11" x14ac:dyDescent="0.3">
      <c r="A227" s="325"/>
      <c r="B227" s="326"/>
      <c r="C227" s="33" t="s">
        <v>16</v>
      </c>
      <c r="D227" s="34">
        <f t="shared" ref="D227:K228" si="79">D5+D14+D16+D18+D20+D22</f>
        <v>117230959</v>
      </c>
      <c r="E227" s="34">
        <f t="shared" si="79"/>
        <v>117297167</v>
      </c>
      <c r="F227" s="34">
        <f t="shared" si="79"/>
        <v>0</v>
      </c>
      <c r="G227" s="34">
        <f t="shared" si="79"/>
        <v>-2110933</v>
      </c>
      <c r="H227" s="34">
        <f t="shared" si="79"/>
        <v>0</v>
      </c>
      <c r="I227" s="34">
        <f t="shared" si="79"/>
        <v>0</v>
      </c>
      <c r="J227" s="34">
        <f t="shared" si="79"/>
        <v>115186234</v>
      </c>
      <c r="K227" s="34">
        <f t="shared" si="79"/>
        <v>61522761</v>
      </c>
    </row>
    <row r="228" spans="1:11" x14ac:dyDescent="0.3">
      <c r="A228" s="325"/>
      <c r="B228" s="326"/>
      <c r="C228" s="33" t="s">
        <v>17</v>
      </c>
      <c r="D228" s="34">
        <f t="shared" si="79"/>
        <v>16012810</v>
      </c>
      <c r="E228" s="34">
        <f t="shared" si="79"/>
        <v>16012810</v>
      </c>
      <c r="F228" s="34">
        <f t="shared" si="79"/>
        <v>0</v>
      </c>
      <c r="G228" s="34">
        <f t="shared" si="79"/>
        <v>0</v>
      </c>
      <c r="H228" s="34">
        <f t="shared" si="79"/>
        <v>0</v>
      </c>
      <c r="I228" s="34">
        <f t="shared" si="79"/>
        <v>0</v>
      </c>
      <c r="J228" s="34">
        <f t="shared" si="79"/>
        <v>16012810</v>
      </c>
      <c r="K228" s="34">
        <f t="shared" si="79"/>
        <v>16012810</v>
      </c>
    </row>
    <row r="229" spans="1:11" x14ac:dyDescent="0.3">
      <c r="A229" s="325"/>
      <c r="B229" s="326"/>
      <c r="C229" s="33" t="s">
        <v>18</v>
      </c>
      <c r="D229" s="34">
        <f t="shared" ref="D229:K231" si="80">D7</f>
        <v>96985672</v>
      </c>
      <c r="E229" s="34">
        <f t="shared" si="80"/>
        <v>96985672</v>
      </c>
      <c r="F229" s="34">
        <f t="shared" si="80"/>
        <v>0</v>
      </c>
      <c r="G229" s="34">
        <f t="shared" si="80"/>
        <v>3344000</v>
      </c>
      <c r="H229" s="34">
        <f t="shared" si="80"/>
        <v>0</v>
      </c>
      <c r="I229" s="34">
        <f t="shared" si="80"/>
        <v>0</v>
      </c>
      <c r="J229" s="34">
        <f t="shared" si="80"/>
        <v>100329672</v>
      </c>
      <c r="K229" s="34">
        <f t="shared" si="80"/>
        <v>69204503</v>
      </c>
    </row>
    <row r="230" spans="1:11" x14ac:dyDescent="0.3">
      <c r="A230" s="325"/>
      <c r="B230" s="326"/>
      <c r="C230" s="35" t="s">
        <v>22</v>
      </c>
      <c r="D230" s="34">
        <f t="shared" si="80"/>
        <v>200000</v>
      </c>
      <c r="E230" s="34">
        <f t="shared" si="80"/>
        <v>200000</v>
      </c>
      <c r="F230" s="34">
        <f t="shared" si="80"/>
        <v>0</v>
      </c>
      <c r="G230" s="34">
        <f t="shared" si="80"/>
        <v>0</v>
      </c>
      <c r="H230" s="34">
        <f t="shared" si="80"/>
        <v>0</v>
      </c>
      <c r="I230" s="34">
        <f t="shared" si="80"/>
        <v>0</v>
      </c>
      <c r="J230" s="34">
        <f t="shared" si="80"/>
        <v>200000</v>
      </c>
      <c r="K230" s="34">
        <f t="shared" si="80"/>
        <v>0</v>
      </c>
    </row>
    <row r="231" spans="1:11" x14ac:dyDescent="0.3">
      <c r="A231" s="325"/>
      <c r="B231" s="326"/>
      <c r="C231" s="35" t="s">
        <v>19</v>
      </c>
      <c r="D231" s="34">
        <f t="shared" si="80"/>
        <v>13200</v>
      </c>
      <c r="E231" s="34">
        <f t="shared" si="80"/>
        <v>21926</v>
      </c>
      <c r="F231" s="34">
        <f t="shared" si="80"/>
        <v>0</v>
      </c>
      <c r="G231" s="34">
        <f t="shared" si="80"/>
        <v>0</v>
      </c>
      <c r="H231" s="34">
        <f t="shared" si="80"/>
        <v>10000</v>
      </c>
      <c r="I231" s="34">
        <f t="shared" si="80"/>
        <v>0</v>
      </c>
      <c r="J231" s="34">
        <f t="shared" si="80"/>
        <v>31926</v>
      </c>
      <c r="K231" s="34">
        <f t="shared" si="80"/>
        <v>21926</v>
      </c>
    </row>
    <row r="232" spans="1:11" x14ac:dyDescent="0.3">
      <c r="A232" s="325"/>
      <c r="B232" s="326"/>
      <c r="C232" s="35" t="s">
        <v>84</v>
      </c>
      <c r="D232" s="34">
        <f>D13+D11</f>
        <v>0</v>
      </c>
      <c r="E232" s="34">
        <f>E13+E11</f>
        <v>3949</v>
      </c>
      <c r="F232" s="34">
        <f t="shared" ref="F232:K232" si="81">F13+F11</f>
        <v>-1000</v>
      </c>
      <c r="G232" s="34">
        <f t="shared" si="81"/>
        <v>0</v>
      </c>
      <c r="H232" s="34">
        <f t="shared" si="81"/>
        <v>10000</v>
      </c>
      <c r="I232" s="34">
        <f t="shared" si="81"/>
        <v>0</v>
      </c>
      <c r="J232" s="34">
        <f>J13+J11</f>
        <v>12949</v>
      </c>
      <c r="K232" s="34">
        <f t="shared" si="81"/>
        <v>3835</v>
      </c>
    </row>
    <row r="233" spans="1:11" x14ac:dyDescent="0.3">
      <c r="A233" s="325"/>
      <c r="B233" s="326"/>
      <c r="C233" s="33" t="s">
        <v>20</v>
      </c>
      <c r="D233" s="34">
        <f>D10+D12</f>
        <v>1000</v>
      </c>
      <c r="E233" s="34">
        <f>E10+E12</f>
        <v>325</v>
      </c>
      <c r="F233" s="34">
        <f t="shared" ref="F233:K233" si="82">F10+F12</f>
        <v>1000</v>
      </c>
      <c r="G233" s="34">
        <f t="shared" si="82"/>
        <v>0</v>
      </c>
      <c r="H233" s="34">
        <f t="shared" si="82"/>
        <v>0</v>
      </c>
      <c r="I233" s="34">
        <f t="shared" si="82"/>
        <v>0</v>
      </c>
      <c r="J233" s="34">
        <f t="shared" si="82"/>
        <v>1325</v>
      </c>
      <c r="K233" s="34">
        <f t="shared" si="82"/>
        <v>314</v>
      </c>
    </row>
    <row r="234" spans="1:11" x14ac:dyDescent="0.3">
      <c r="A234" s="325"/>
      <c r="B234" s="326"/>
      <c r="C234" s="63" t="s">
        <v>86</v>
      </c>
      <c r="D234" s="64">
        <f>D13+D12+D11+D10+D9</f>
        <v>14200</v>
      </c>
      <c r="E234" s="64">
        <f>E13+E12+E11+E10+E9</f>
        <v>26200</v>
      </c>
      <c r="F234" s="64">
        <f t="shared" ref="F234:K234" si="83">F13+F12+F11+F10+F9</f>
        <v>0</v>
      </c>
      <c r="G234" s="64">
        <f t="shared" si="83"/>
        <v>0</v>
      </c>
      <c r="H234" s="64">
        <f t="shared" si="83"/>
        <v>20000</v>
      </c>
      <c r="I234" s="64">
        <f t="shared" si="83"/>
        <v>0</v>
      </c>
      <c r="J234" s="64">
        <f t="shared" si="83"/>
        <v>46200</v>
      </c>
      <c r="K234" s="64">
        <f t="shared" si="83"/>
        <v>26075</v>
      </c>
    </row>
    <row r="235" spans="1:11" x14ac:dyDescent="0.3">
      <c r="A235" s="325"/>
      <c r="B235" s="326"/>
      <c r="C235" s="63" t="s">
        <v>87</v>
      </c>
      <c r="D235" s="64">
        <f>D23+D21+D19+D17+D15+D7+D6</f>
        <v>112998482</v>
      </c>
      <c r="E235" s="64">
        <f>E23+E21+E19+E17+E15+E7+E6</f>
        <v>112998482</v>
      </c>
      <c r="F235" s="64">
        <f t="shared" ref="F235:K235" si="84">F23+F21+F19+F17+F15+F7+F6</f>
        <v>0</v>
      </c>
      <c r="G235" s="64">
        <f t="shared" si="84"/>
        <v>3344000</v>
      </c>
      <c r="H235" s="64">
        <f t="shared" si="84"/>
        <v>0</v>
      </c>
      <c r="I235" s="64">
        <f t="shared" si="84"/>
        <v>0</v>
      </c>
      <c r="J235" s="64">
        <f t="shared" si="84"/>
        <v>116342482</v>
      </c>
      <c r="K235" s="64">
        <f t="shared" si="84"/>
        <v>85217313</v>
      </c>
    </row>
    <row r="236" spans="1:11" x14ac:dyDescent="0.3">
      <c r="A236" s="325"/>
      <c r="B236" s="326"/>
      <c r="C236" s="63" t="s">
        <v>94</v>
      </c>
      <c r="D236" s="64">
        <f>D24</f>
        <v>230443641</v>
      </c>
      <c r="E236" s="64">
        <f>E24</f>
        <v>230521849</v>
      </c>
      <c r="F236" s="64">
        <f t="shared" ref="F236:K236" si="85">F24</f>
        <v>0</v>
      </c>
      <c r="G236" s="64">
        <f t="shared" si="85"/>
        <v>1233067</v>
      </c>
      <c r="H236" s="64">
        <f t="shared" si="85"/>
        <v>20000</v>
      </c>
      <c r="I236" s="64">
        <f t="shared" si="85"/>
        <v>0</v>
      </c>
      <c r="J236" s="64">
        <f t="shared" si="85"/>
        <v>231774916</v>
      </c>
      <c r="K236" s="64">
        <f t="shared" si="85"/>
        <v>146766149</v>
      </c>
    </row>
    <row r="237" spans="1:11" x14ac:dyDescent="0.3">
      <c r="A237" s="325"/>
      <c r="B237" s="326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127632540</v>
      </c>
      <c r="F237" s="34">
        <f>F89+F111+F114+F133+F136+F154+F157+F177+F199+F215+F180+F86+F84+F52+F25</f>
        <v>-410000</v>
      </c>
      <c r="G237" s="34">
        <f t="shared" ref="G237:I237" si="86">G89+G111+G114+G133+G136+G154+G157+G177+G199+G215+G180+G86+G84+G52+G25</f>
        <v>1031856</v>
      </c>
      <c r="H237" s="34">
        <f t="shared" si="86"/>
        <v>0</v>
      </c>
      <c r="I237" s="34">
        <f t="shared" si="86"/>
        <v>0</v>
      </c>
      <c r="J237" s="34">
        <f>J215+J199+J180+J177+J157+J154+J136+J133+J114+J111+J89+J86+J84+J52+J25</f>
        <v>128254396</v>
      </c>
      <c r="K237" s="34">
        <f>K215+K199+K180+K177+K157+K154+K136+K133+K114+K111+K89+K86+K84+K52+K25</f>
        <v>89395499</v>
      </c>
    </row>
    <row r="238" spans="1:11" x14ac:dyDescent="0.3">
      <c r="A238" s="325"/>
      <c r="B238" s="326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1437961</v>
      </c>
    </row>
    <row r="239" spans="1:11" x14ac:dyDescent="0.3">
      <c r="A239" s="325"/>
      <c r="B239" s="326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3">
      <c r="A240" s="325"/>
      <c r="B240" s="326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1977500</v>
      </c>
    </row>
    <row r="241" spans="1:11" x14ac:dyDescent="0.3">
      <c r="A241" s="325"/>
      <c r="B241" s="326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1" x14ac:dyDescent="0.3">
      <c r="A242" s="325"/>
      <c r="B242" s="326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905844</v>
      </c>
    </row>
    <row r="243" spans="1:11" x14ac:dyDescent="0.3">
      <c r="A243" s="325"/>
      <c r="B243" s="326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1" x14ac:dyDescent="0.3">
      <c r="A244" s="325"/>
      <c r="B244" s="326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4230408</v>
      </c>
      <c r="F244" s="34">
        <f>F204+F175+F161+F141+F118+F109+F94+F82+F80+F59+F30+F131</f>
        <v>410000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4640408</v>
      </c>
      <c r="K244" s="34">
        <f>K204+K175+K161+K141+K118+K109+K94+K82+K80+K59+K30+K131</f>
        <v>2456470</v>
      </c>
    </row>
    <row r="245" spans="1:11" x14ac:dyDescent="0.3">
      <c r="A245" s="325"/>
      <c r="B245" s="326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200000</v>
      </c>
      <c r="F245" s="34">
        <f t="shared" si="92"/>
        <v>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1" x14ac:dyDescent="0.3">
      <c r="A246" s="325"/>
      <c r="B246" s="326"/>
      <c r="C246" s="63" t="s">
        <v>53</v>
      </c>
      <c r="D246" s="64">
        <f>D205+D182+D163+D143+D215+D177+D154+D133+D131+D175+D120+D111+D109+D96+D86+D84+D82+D80+D61+D32</f>
        <v>140382424</v>
      </c>
      <c r="E246" s="64">
        <f t="shared" ref="E246:K246" si="93">E205+E182+E163+E143+E215+E177+E154+E133+E131+E175+E120+E111+E109+E96+E86+E84+E82+E80+E61+E32</f>
        <v>140437828</v>
      </c>
      <c r="F246" s="64">
        <f t="shared" si="93"/>
        <v>0</v>
      </c>
      <c r="G246" s="64">
        <f t="shared" si="93"/>
        <v>1031856</v>
      </c>
      <c r="H246" s="64">
        <f t="shared" si="93"/>
        <v>0</v>
      </c>
      <c r="I246" s="64">
        <f t="shared" si="93"/>
        <v>0</v>
      </c>
      <c r="J246" s="64">
        <f t="shared" si="93"/>
        <v>141469684</v>
      </c>
      <c r="K246" s="64">
        <f t="shared" si="93"/>
        <v>96423078</v>
      </c>
    </row>
    <row r="247" spans="1:11" x14ac:dyDescent="0.3">
      <c r="A247" s="325"/>
      <c r="B247" s="326"/>
      <c r="C247" s="65" t="s">
        <v>31</v>
      </c>
      <c r="D247" s="64">
        <f>D206+D183+D178+D176+D216+D164+D155+D144+D134+D132+D121+D112+D110+D97+D87+D85+D83+D81+D62+D33</f>
        <v>27536677</v>
      </c>
      <c r="E247" s="64">
        <f>E206+E183+E178+E176+E216+E164+E155+E144+E134+E132+E121+E112+E110+E97+E87+E85+E83+E81+E62+E33</f>
        <v>31822031</v>
      </c>
      <c r="F247" s="64">
        <f t="shared" ref="F247:K247" si="94">F206+F183+F178+F176+F216+F164+F155+F144+F134+F132+F121+F112+F110+F97+F87+F85+F83+F81+F62+F33</f>
        <v>0</v>
      </c>
      <c r="G247" s="64">
        <f t="shared" si="94"/>
        <v>201211</v>
      </c>
      <c r="H247" s="64">
        <f t="shared" si="94"/>
        <v>0</v>
      </c>
      <c r="I247" s="64">
        <f t="shared" si="94"/>
        <v>0</v>
      </c>
      <c r="J247" s="64">
        <f t="shared" si="94"/>
        <v>32023242</v>
      </c>
      <c r="K247" s="64">
        <f t="shared" si="94"/>
        <v>21983562</v>
      </c>
    </row>
    <row r="248" spans="1:11" x14ac:dyDescent="0.3">
      <c r="A248" s="325"/>
      <c r="B248" s="326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-50000</v>
      </c>
      <c r="G248" s="34">
        <f t="shared" si="95"/>
        <v>0</v>
      </c>
      <c r="H248" s="34">
        <f t="shared" si="95"/>
        <v>10000</v>
      </c>
      <c r="I248" s="34">
        <f t="shared" si="95"/>
        <v>0</v>
      </c>
      <c r="J248" s="34">
        <f t="shared" si="95"/>
        <v>500000</v>
      </c>
      <c r="K248" s="34">
        <f t="shared" si="95"/>
        <v>74652</v>
      </c>
    </row>
    <row r="249" spans="1:11" x14ac:dyDescent="0.3">
      <c r="A249" s="325"/>
      <c r="B249" s="326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2009887</v>
      </c>
      <c r="F249" s="34">
        <f t="shared" si="96"/>
        <v>-100000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1909887</v>
      </c>
      <c r="K249" s="34">
        <f t="shared" si="96"/>
        <v>314080</v>
      </c>
    </row>
    <row r="250" spans="1:11" x14ac:dyDescent="0.3">
      <c r="A250" s="325"/>
      <c r="B250" s="326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171366</v>
      </c>
    </row>
    <row r="251" spans="1:11" x14ac:dyDescent="0.3">
      <c r="A251" s="325"/>
      <c r="B251" s="326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169333</v>
      </c>
    </row>
    <row r="252" spans="1:11" x14ac:dyDescent="0.3">
      <c r="A252" s="325"/>
      <c r="B252" s="326"/>
      <c r="C252" s="33" t="s">
        <v>36</v>
      </c>
      <c r="D252" s="34">
        <f>D102+D67+D38</f>
        <v>1739080</v>
      </c>
      <c r="E252" s="34">
        <f>E102+E67+E38</f>
        <v>1738180</v>
      </c>
      <c r="F252" s="34">
        <f t="shared" ref="F252:K252" si="99">F102+F67+F38</f>
        <v>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1738180</v>
      </c>
      <c r="K252" s="34">
        <f t="shared" si="99"/>
        <v>1204564</v>
      </c>
    </row>
    <row r="253" spans="1:11" x14ac:dyDescent="0.3">
      <c r="A253" s="325"/>
      <c r="B253" s="326"/>
      <c r="C253" s="38" t="s">
        <v>37</v>
      </c>
      <c r="D253" s="34">
        <f>D185+D68+D39</f>
        <v>356000</v>
      </c>
      <c r="E253" s="34">
        <f>E185+E68+E39</f>
        <v>356000</v>
      </c>
      <c r="F253" s="34">
        <f t="shared" ref="F253:J253" si="100">F185+F68+F39</f>
        <v>0</v>
      </c>
      <c r="G253" s="34">
        <f t="shared" si="100"/>
        <v>0</v>
      </c>
      <c r="H253" s="34">
        <f t="shared" si="100"/>
        <v>0</v>
      </c>
      <c r="I253" s="34">
        <f t="shared" si="100"/>
        <v>0</v>
      </c>
      <c r="J253" s="34">
        <f t="shared" si="100"/>
        <v>356000</v>
      </c>
      <c r="K253" s="34">
        <f>K185+K68+K39</f>
        <v>0</v>
      </c>
    </row>
    <row r="254" spans="1:11" x14ac:dyDescent="0.3">
      <c r="A254" s="325"/>
      <c r="B254" s="326"/>
      <c r="C254" s="33" t="s">
        <v>38</v>
      </c>
      <c r="D254" s="34">
        <f>D169+D148+D125+D103+D69+D40+D209</f>
        <v>1394000</v>
      </c>
      <c r="E254" s="34">
        <f>E169+E148+E125+E103+E69+E40+E209</f>
        <v>1379180</v>
      </c>
      <c r="F254" s="34">
        <f t="shared" ref="F254:K254" si="101">F169+F148+F125+F103+F69+F40+F209</f>
        <v>5000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34">
        <f t="shared" si="101"/>
        <v>1384180</v>
      </c>
      <c r="K254" s="34">
        <f t="shared" si="101"/>
        <v>416270</v>
      </c>
    </row>
    <row r="255" spans="1:11" x14ac:dyDescent="0.3">
      <c r="A255" s="325"/>
      <c r="B255" s="326"/>
      <c r="C255" s="33" t="s">
        <v>39</v>
      </c>
      <c r="D255" s="34">
        <f>D41</f>
        <v>13200</v>
      </c>
      <c r="E255" s="34">
        <f>E41</f>
        <v>21926</v>
      </c>
      <c r="F255" s="34">
        <f t="shared" ref="F255:K255" si="102">F41</f>
        <v>0</v>
      </c>
      <c r="G255" s="34">
        <f t="shared" si="102"/>
        <v>0</v>
      </c>
      <c r="H255" s="34">
        <f t="shared" si="102"/>
        <v>10000</v>
      </c>
      <c r="I255" s="34">
        <f t="shared" si="102"/>
        <v>0</v>
      </c>
      <c r="J255" s="34">
        <f t="shared" si="102"/>
        <v>31926</v>
      </c>
      <c r="K255" s="34">
        <f t="shared" si="102"/>
        <v>22999</v>
      </c>
    </row>
    <row r="256" spans="1:11" x14ac:dyDescent="0.3">
      <c r="A256" s="325"/>
      <c r="B256" s="326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16428704</v>
      </c>
      <c r="F256" s="34">
        <f t="shared" si="103"/>
        <v>-75000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34">
        <f t="shared" si="103"/>
        <v>16353704</v>
      </c>
      <c r="K256" s="34">
        <f t="shared" si="103"/>
        <v>624836</v>
      </c>
    </row>
    <row r="257" spans="1:11" x14ac:dyDescent="0.3">
      <c r="A257" s="325"/>
      <c r="B257" s="326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14289819</v>
      </c>
      <c r="F257" s="34">
        <f t="shared" si="104"/>
        <v>170000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34">
        <f>J187+J171+J150+J127+J105+J71+J43+J210</f>
        <v>14459819</v>
      </c>
      <c r="K257" s="34">
        <f t="shared" si="104"/>
        <v>6835833</v>
      </c>
    </row>
    <row r="258" spans="1:11" x14ac:dyDescent="0.3">
      <c r="A258" s="325"/>
      <c r="B258" s="326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5">F211+F188+F172+F151+F128+F106+F72+F44</f>
        <v>50000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2889440</v>
      </c>
      <c r="K258" s="34">
        <f t="shared" si="105"/>
        <v>1147593</v>
      </c>
    </row>
    <row r="259" spans="1:11" x14ac:dyDescent="0.3">
      <c r="A259" s="325"/>
      <c r="B259" s="326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3">
      <c r="A260" s="325"/>
      <c r="B260" s="326"/>
      <c r="C260" s="33" t="s">
        <v>44</v>
      </c>
      <c r="D260" s="34">
        <f>D212+D190+D173+D152+D129+D107+D74+D46</f>
        <v>7754652</v>
      </c>
      <c r="E260" s="34">
        <f>E212+E190+E173+E152+E129+E107+E74+E46</f>
        <v>5316093</v>
      </c>
      <c r="F260" s="34">
        <f t="shared" ref="F260:K260" si="107">F212+F190+F173+F152+F129+F107+F74+F46</f>
        <v>0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1993421</v>
      </c>
    </row>
    <row r="261" spans="1:11" x14ac:dyDescent="0.3">
      <c r="A261" s="325"/>
      <c r="B261" s="326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259722</v>
      </c>
    </row>
    <row r="262" spans="1:11" x14ac:dyDescent="0.3">
      <c r="A262" s="325"/>
      <c r="B262" s="326"/>
      <c r="C262" s="63" t="s">
        <v>49</v>
      </c>
      <c r="D262" s="64">
        <f>D214+D192+D174+D153+D130+D108+D76+D48</f>
        <v>62319790</v>
      </c>
      <c r="E262" s="64">
        <f>E214+E192+E174+E153+E130+E108+E76+E48</f>
        <v>47557240</v>
      </c>
      <c r="F262" s="64">
        <f t="shared" ref="F262:K262" si="109">F214+F192+F174+F153+F130+F108+F76+F48</f>
        <v>0</v>
      </c>
      <c r="G262" s="64">
        <f t="shared" si="109"/>
        <v>0</v>
      </c>
      <c r="H262" s="64">
        <f t="shared" si="109"/>
        <v>20000</v>
      </c>
      <c r="I262" s="64">
        <f t="shared" si="109"/>
        <v>0</v>
      </c>
      <c r="J262" s="64">
        <f t="shared" si="109"/>
        <v>47577240</v>
      </c>
      <c r="K262" s="64">
        <f t="shared" si="109"/>
        <v>13234669</v>
      </c>
    </row>
    <row r="263" spans="1:11" x14ac:dyDescent="0.3">
      <c r="A263" s="325"/>
      <c r="B263" s="326"/>
      <c r="C263" s="63" t="s">
        <v>100</v>
      </c>
      <c r="D263" s="64">
        <f>D197</f>
        <v>0</v>
      </c>
      <c r="E263" s="64">
        <f t="shared" ref="E263:K263" si="110">E197</f>
        <v>10500000</v>
      </c>
      <c r="F263" s="64">
        <f t="shared" si="110"/>
        <v>0</v>
      </c>
      <c r="G263" s="64">
        <f t="shared" si="110"/>
        <v>0</v>
      </c>
      <c r="H263" s="64">
        <f t="shared" si="110"/>
        <v>0</v>
      </c>
      <c r="I263" s="64">
        <f t="shared" si="110"/>
        <v>0</v>
      </c>
      <c r="J263" s="64">
        <f t="shared" si="110"/>
        <v>10500000</v>
      </c>
      <c r="K263" s="64">
        <f t="shared" si="110"/>
        <v>10500000</v>
      </c>
    </row>
    <row r="264" spans="1:11" x14ac:dyDescent="0.3">
      <c r="A264" s="325"/>
      <c r="B264" s="326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3">
      <c r="A265" s="325"/>
      <c r="B265" s="326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3">
      <c r="A266" s="325"/>
      <c r="B266" s="326"/>
      <c r="C266" s="63" t="s">
        <v>52</v>
      </c>
      <c r="D266" s="66">
        <f t="shared" si="111"/>
        <v>204750</v>
      </c>
      <c r="E266" s="66">
        <f t="shared" si="111"/>
        <v>204750</v>
      </c>
      <c r="F266" s="66">
        <f t="shared" si="111"/>
        <v>0</v>
      </c>
      <c r="G266" s="66">
        <f t="shared" si="111"/>
        <v>0</v>
      </c>
      <c r="H266" s="66">
        <f t="shared" si="111"/>
        <v>0</v>
      </c>
      <c r="I266" s="66">
        <f t="shared" si="111"/>
        <v>0</v>
      </c>
      <c r="J266" s="66">
        <f t="shared" si="111"/>
        <v>204750</v>
      </c>
      <c r="K266" s="64">
        <f t="shared" si="111"/>
        <v>0</v>
      </c>
    </row>
    <row r="267" spans="1:11" x14ac:dyDescent="0.3">
      <c r="A267" s="327"/>
      <c r="B267" s="328"/>
      <c r="C267" s="67" t="s">
        <v>88</v>
      </c>
      <c r="D267" s="68">
        <f>D218</f>
        <v>230443641</v>
      </c>
      <c r="E267" s="68">
        <f>E218</f>
        <v>230521849</v>
      </c>
      <c r="F267" s="68">
        <f t="shared" ref="F267:K267" si="112">F218</f>
        <v>0</v>
      </c>
      <c r="G267" s="68">
        <f t="shared" si="112"/>
        <v>1233067</v>
      </c>
      <c r="H267" s="68">
        <f t="shared" si="112"/>
        <v>20000</v>
      </c>
      <c r="I267" s="68">
        <f t="shared" si="112"/>
        <v>0</v>
      </c>
      <c r="J267" s="68">
        <f t="shared" si="112"/>
        <v>231774916</v>
      </c>
      <c r="K267" s="68">
        <f t="shared" si="112"/>
        <v>142141309</v>
      </c>
    </row>
    <row r="268" spans="1:11" x14ac:dyDescent="0.3">
      <c r="B268" s="5"/>
      <c r="E268" s="4"/>
      <c r="F268" s="4"/>
      <c r="G268" s="4"/>
      <c r="H268" s="4"/>
      <c r="I268" s="4"/>
      <c r="J268" s="4"/>
      <c r="K268" s="107"/>
    </row>
    <row r="269" spans="1:11" x14ac:dyDescent="0.3">
      <c r="B269" s="5"/>
      <c r="E269" s="4"/>
      <c r="F269" s="4"/>
      <c r="G269" s="4"/>
      <c r="H269" s="4"/>
      <c r="I269" s="4"/>
      <c r="J269" s="4"/>
      <c r="K269" s="107"/>
    </row>
  </sheetData>
  <autoFilter ref="A4:L4" xr:uid="{00000000-0009-0000-0000-000008000000}"/>
  <mergeCells count="74"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11</vt:i4>
      </vt:variant>
    </vt:vector>
  </HeadingPairs>
  <TitlesOfParts>
    <vt:vector size="25" baseType="lpstr">
      <vt:lpstr>2019.03.31.</vt:lpstr>
      <vt:lpstr>2019.04.30.</vt:lpstr>
      <vt:lpstr>2019.05.31.</vt:lpstr>
      <vt:lpstr>Előterjesztés-06.20.</vt:lpstr>
      <vt:lpstr>2019.06.30.</vt:lpstr>
      <vt:lpstr>2019.07.31.</vt:lpstr>
      <vt:lpstr>2019.08.31.</vt:lpstr>
      <vt:lpstr>Előterjesztés 09.26.</vt:lpstr>
      <vt:lpstr>2019.09.30.</vt:lpstr>
      <vt:lpstr>2019.10.31.</vt:lpstr>
      <vt:lpstr>Előterjesztés 12.12.</vt:lpstr>
      <vt:lpstr>2019.11.30.</vt:lpstr>
      <vt:lpstr>2019.12.31.</vt:lpstr>
      <vt:lpstr>2023</vt:lpstr>
      <vt:lpstr>'2019.04.30.'!Nyomtatási_cím</vt:lpstr>
      <vt:lpstr>'2019.05.31.'!Nyomtatási_cím</vt:lpstr>
      <vt:lpstr>'2019.11.30.'!Nyomtatási_cím</vt:lpstr>
      <vt:lpstr>'2019.12.31.'!Nyomtatási_cím</vt:lpstr>
      <vt:lpstr>'2023'!Nyomtatási_cím</vt:lpstr>
      <vt:lpstr>'Előterjesztés 12.12.'!Nyomtatási_cím</vt:lpstr>
      <vt:lpstr>'Előterjesztés-06.20.'!Nyomtatási_cím</vt:lpstr>
      <vt:lpstr>'2019.08.31.'!Nyomtatási_terület</vt:lpstr>
      <vt:lpstr>'Előterjesztés 09.26.'!Nyomtatási_terület</vt:lpstr>
      <vt:lpstr>'Előterjesztés 12.12.'!Nyomtatási_terület</vt:lpstr>
      <vt:lpstr>'Előterjesztés-06.20.'!Nyomtatási_terület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2024-01-19T06:33:18Z</dcterms:modified>
</cp:coreProperties>
</file>